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Marketing\2020\20_Site Internet\Mise à jour 2020\Systeme Tandem\"/>
    </mc:Choice>
  </mc:AlternateContent>
  <xr:revisionPtr revIDLastSave="0" documentId="13_ncr:1_{1CD98655-D636-452D-B6C9-44AABE275A81}" xr6:coauthVersionLast="44" xr6:coauthVersionMax="44" xr10:uidLastSave="{00000000-0000-0000-0000-000000000000}"/>
  <bookViews>
    <workbookView xWindow="-120" yWindow="-120" windowWidth="25440" windowHeight="15390" tabRatio="960" activeTab="9" xr2:uid="{00000000-000D-0000-FFFF-FFFF00000000}"/>
  </bookViews>
  <sheets>
    <sheet name="INTRO" sheetId="1" r:id="rId1"/>
    <sheet name="Lafitt 90 colonne" sheetId="5" r:id="rId2"/>
    <sheet name="Lafitt 180 colonne" sheetId="12" r:id="rId3"/>
    <sheet name="Esplanade Colonne" sheetId="13" state="hidden" r:id="rId4"/>
    <sheet name="Lafitt 90 simple" sheetId="3" r:id="rId5"/>
    <sheet name="Lafitt 180 simple" sheetId="7" r:id="rId6"/>
    <sheet name="Lafitt 90  &amp; 180 simple" sheetId="15" r:id="rId7"/>
    <sheet name="Esplanade simple" sheetId="9" state="hidden" r:id="rId8"/>
    <sheet name="Lafitt 90 double" sheetId="6" r:id="rId9"/>
    <sheet name="Lafitt 180 double" sheetId="8" r:id="rId10"/>
    <sheet name="Lafitt 90 &amp;180 double" sheetId="16" r:id="rId11"/>
    <sheet name="Esplanade double" sheetId="10" state="hidden" r:id="rId12"/>
    <sheet name="table colonne" sheetId="11" state="hidden" r:id="rId13"/>
  </sheets>
  <definedNames>
    <definedName name="Colonne" localSheetId="3">#REF!</definedName>
    <definedName name="Colonne" localSheetId="11">#REF!</definedName>
    <definedName name="Colonne" localSheetId="7">#REF!</definedName>
    <definedName name="Colonne" localSheetId="2">#REF!</definedName>
    <definedName name="Colonne" localSheetId="9">#REF!</definedName>
    <definedName name="Colonne" localSheetId="6">#REF!</definedName>
    <definedName name="Colonne" localSheetId="10">#REF!</definedName>
    <definedName name="Colonne" localSheetId="8">#REF!</definedName>
    <definedName name="Colonne">#REF!</definedName>
    <definedName name="dface" localSheetId="3">#REF!</definedName>
    <definedName name="dface" localSheetId="11">#REF!</definedName>
    <definedName name="dface" localSheetId="7">#REF!</definedName>
    <definedName name="dface" localSheetId="2">#REF!</definedName>
    <definedName name="dface" localSheetId="9">#REF!</definedName>
    <definedName name="dface" localSheetId="6">#REF!</definedName>
    <definedName name="dface" localSheetId="10">#REF!</definedName>
    <definedName name="dface" localSheetId="8">#REF!</definedName>
    <definedName name="dface">#REF!</definedName>
    <definedName name="soutenement" localSheetId="3">#REF!</definedName>
    <definedName name="soutenement" localSheetId="11">#REF!</definedName>
    <definedName name="soutenement" localSheetId="7">#REF!</definedName>
    <definedName name="soutenement" localSheetId="2">#REF!</definedName>
    <definedName name="soutenement" localSheetId="9">#REF!</definedName>
    <definedName name="soutenement" localSheetId="6">#REF!</definedName>
    <definedName name="soutenement" localSheetId="10">#REF!</definedName>
    <definedName name="soutenement" localSheetId="8">#REF!</definedName>
    <definedName name="soutenement">#REF!</definedName>
    <definedName name="_xlnm.Print_Area" localSheetId="3">'Esplanade Colonne'!$B$1:$O$35</definedName>
    <definedName name="_xlnm.Print_Area" localSheetId="11">'Esplanade double'!$B$1:$M$42</definedName>
    <definedName name="_xlnm.Print_Area" localSheetId="7">'Esplanade simple'!$B$1:$M$42</definedName>
    <definedName name="_xlnm.Print_Area" localSheetId="0">INTRO!$B$1:$J$22</definedName>
    <definedName name="_xlnm.Print_Area" localSheetId="2">'Lafitt 180 colonne'!$B$1:$Q$41</definedName>
    <definedName name="_xlnm.Print_Area" localSheetId="9">'Lafitt 180 double'!$B$1:$M$42</definedName>
    <definedName name="_xlnm.Print_Area" localSheetId="5">'Lafitt 180 simple'!$B$1:$M$42</definedName>
    <definedName name="_xlnm.Print_Area" localSheetId="6">'Lafitt 90  &amp; 180 simple'!$B$1:$L$44</definedName>
    <definedName name="_xlnm.Print_Area" localSheetId="10">'Lafitt 90 &amp;180 double'!$B$1:$M$44</definedName>
    <definedName name="_xlnm.Print_Area" localSheetId="1">'Lafitt 90 colonne'!$B$1:$Q$39</definedName>
    <definedName name="_xlnm.Print_Area" localSheetId="8">'Lafitt 90 double'!$B$1:$M$42</definedName>
    <definedName name="_xlnm.Print_Area" localSheetId="4">'Lafitt 90 simple'!$B$1:$M$42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" i="9" l="1"/>
  <c r="H18" i="10"/>
  <c r="G20" i="9"/>
  <c r="G7" i="8" l="1"/>
  <c r="N6" i="10"/>
  <c r="G7" i="10"/>
  <c r="N6" i="9"/>
  <c r="G7" i="9"/>
  <c r="N6" i="8"/>
  <c r="N6" i="7"/>
  <c r="G7" i="7" l="1"/>
  <c r="G28" i="5" l="1"/>
  <c r="F29" i="12"/>
  <c r="F26" i="13" l="1"/>
  <c r="N26" i="6" l="1"/>
  <c r="N24" i="6"/>
  <c r="H18" i="16" l="1"/>
  <c r="H30" i="16"/>
  <c r="N28" i="16"/>
  <c r="G28" i="16"/>
  <c r="N26" i="16"/>
  <c r="O26" i="16" s="1"/>
  <c r="G26" i="16"/>
  <c r="H20" i="16"/>
  <c r="G13" i="16"/>
  <c r="G9" i="16"/>
  <c r="G7" i="16"/>
  <c r="N6" i="16"/>
  <c r="H6" i="16" s="1"/>
  <c r="I6" i="16"/>
  <c r="G6" i="16"/>
  <c r="G24" i="15"/>
  <c r="G22" i="15"/>
  <c r="N30" i="15"/>
  <c r="F30" i="15"/>
  <c r="N28" i="15"/>
  <c r="O28" i="15" s="1"/>
  <c r="F28" i="15"/>
  <c r="G20" i="15"/>
  <c r="G18" i="15"/>
  <c r="F13" i="15"/>
  <c r="F9" i="15"/>
  <c r="G7" i="15"/>
  <c r="N6" i="15"/>
  <c r="H6" i="15"/>
  <c r="F6" i="15"/>
  <c r="G7" i="6"/>
  <c r="G6" i="9"/>
  <c r="F22" i="9" s="1"/>
  <c r="H6" i="9"/>
  <c r="G6" i="7"/>
  <c r="H6" i="7"/>
  <c r="G7" i="3"/>
  <c r="F22" i="7" l="1"/>
  <c r="E13" i="7"/>
  <c r="P26" i="16"/>
  <c r="I26" i="16"/>
  <c r="K26" i="16" s="1"/>
  <c r="P28" i="15"/>
  <c r="H28" i="15"/>
  <c r="J28" i="15" s="1"/>
  <c r="G6" i="15"/>
  <c r="F26" i="15" s="1"/>
  <c r="H26" i="15" s="1"/>
  <c r="F13" i="16"/>
  <c r="G24" i="16"/>
  <c r="I24" i="16" s="1"/>
  <c r="O28" i="16"/>
  <c r="O30" i="15"/>
  <c r="P28" i="16" l="1"/>
  <c r="I28" i="16"/>
  <c r="K28" i="16" s="1"/>
  <c r="P30" i="15"/>
  <c r="H30" i="15"/>
  <c r="J30" i="15" s="1"/>
  <c r="N18" i="16"/>
  <c r="O18" i="16" s="1"/>
  <c r="P18" i="16" s="1"/>
  <c r="N20" i="16"/>
  <c r="E13" i="15"/>
  <c r="G30" i="16"/>
  <c r="N6" i="6"/>
  <c r="H6" i="6" s="1"/>
  <c r="I6" i="6"/>
  <c r="G6" i="6"/>
  <c r="H6" i="8"/>
  <c r="G22" i="8" s="1"/>
  <c r="I6" i="8"/>
  <c r="G6" i="8"/>
  <c r="H6" i="10"/>
  <c r="G22" i="10" s="1"/>
  <c r="I6" i="10"/>
  <c r="G6" i="10"/>
  <c r="N6" i="3"/>
  <c r="G6" i="3" s="1"/>
  <c r="N26" i="10"/>
  <c r="N24" i="10"/>
  <c r="N26" i="8"/>
  <c r="N24" i="8"/>
  <c r="N26" i="9"/>
  <c r="N24" i="9"/>
  <c r="N26" i="7"/>
  <c r="N24" i="7"/>
  <c r="N26" i="3"/>
  <c r="O26" i="3" s="1"/>
  <c r="N24" i="3"/>
  <c r="O24" i="3" s="1"/>
  <c r="I18" i="16" l="1"/>
  <c r="K18" i="16"/>
  <c r="N24" i="15"/>
  <c r="N22" i="15"/>
  <c r="N20" i="15"/>
  <c r="N18" i="15"/>
  <c r="P24" i="3"/>
  <c r="H24" i="3"/>
  <c r="P26" i="3"/>
  <c r="H26" i="3"/>
  <c r="O20" i="16"/>
  <c r="P20" i="16" s="1"/>
  <c r="O24" i="10"/>
  <c r="O26" i="10"/>
  <c r="I26" i="10" s="1"/>
  <c r="O24" i="8"/>
  <c r="O26" i="8"/>
  <c r="O26" i="6"/>
  <c r="O24" i="6"/>
  <c r="O24" i="9"/>
  <c r="O26" i="9"/>
  <c r="O24" i="7"/>
  <c r="O26" i="7"/>
  <c r="P22" i="13"/>
  <c r="P20" i="13"/>
  <c r="Q20" i="13" s="1"/>
  <c r="R25" i="12"/>
  <c r="R22" i="12"/>
  <c r="R24" i="5"/>
  <c r="R21" i="5"/>
  <c r="S21" i="5" s="1"/>
  <c r="G18" i="16" l="1"/>
  <c r="P26" i="8"/>
  <c r="I26" i="8"/>
  <c r="P24" i="8"/>
  <c r="I24" i="8"/>
  <c r="P26" i="9"/>
  <c r="H26" i="9"/>
  <c r="P24" i="9"/>
  <c r="H24" i="9"/>
  <c r="P24" i="10"/>
  <c r="I24" i="10"/>
  <c r="P26" i="10"/>
  <c r="O24" i="15"/>
  <c r="P24" i="15" s="1"/>
  <c r="J24" i="15" s="1"/>
  <c r="O22" i="15"/>
  <c r="P22" i="15" s="1"/>
  <c r="P26" i="7"/>
  <c r="H26" i="7"/>
  <c r="P24" i="7"/>
  <c r="H24" i="7"/>
  <c r="P26" i="6"/>
  <c r="I26" i="6"/>
  <c r="P24" i="6"/>
  <c r="I24" i="6"/>
  <c r="I20" i="16"/>
  <c r="K20" i="16"/>
  <c r="S24" i="5"/>
  <c r="T24" i="5" s="1"/>
  <c r="T21" i="5"/>
  <c r="Q22" i="13"/>
  <c r="R22" i="13" s="1"/>
  <c r="R20" i="13"/>
  <c r="S25" i="12"/>
  <c r="T25" i="12" s="1"/>
  <c r="S22" i="12"/>
  <c r="T22" i="12" s="1"/>
  <c r="G20" i="16" l="1"/>
  <c r="G22" i="16" s="1"/>
  <c r="I22" i="16" s="1"/>
  <c r="H24" i="15"/>
  <c r="H22" i="15"/>
  <c r="J22" i="15"/>
  <c r="F22" i="13"/>
  <c r="F20" i="13"/>
  <c r="I18" i="13"/>
  <c r="F18" i="13"/>
  <c r="F25" i="12"/>
  <c r="F23" i="12"/>
  <c r="F21" i="12"/>
  <c r="I19" i="12"/>
  <c r="F19" i="12"/>
  <c r="H28" i="6"/>
  <c r="H28" i="8"/>
  <c r="H28" i="10"/>
  <c r="G24" i="5"/>
  <c r="G22" i="5"/>
  <c r="G20" i="5"/>
  <c r="J18" i="5"/>
  <c r="G18" i="5"/>
  <c r="E32" i="11"/>
  <c r="D32" i="11" s="1"/>
  <c r="B32" i="11"/>
  <c r="E31" i="11"/>
  <c r="D31" i="11" s="1"/>
  <c r="B31" i="11"/>
  <c r="E30" i="11"/>
  <c r="D30" i="11" s="1"/>
  <c r="B30" i="11"/>
  <c r="E29" i="11"/>
  <c r="D29" i="11" s="1"/>
  <c r="B29" i="11"/>
  <c r="E28" i="11"/>
  <c r="D28" i="11" s="1"/>
  <c r="B28" i="11"/>
  <c r="E27" i="11"/>
  <c r="D27" i="11" s="1"/>
  <c r="B27" i="11"/>
  <c r="E21" i="11"/>
  <c r="D21" i="11" s="1"/>
  <c r="B21" i="11"/>
  <c r="E20" i="11"/>
  <c r="D20" i="11" s="1"/>
  <c r="B20" i="11"/>
  <c r="E19" i="11"/>
  <c r="D19" i="11" s="1"/>
  <c r="B19" i="11"/>
  <c r="E18" i="11"/>
  <c r="D18" i="11" s="1"/>
  <c r="B18" i="11"/>
  <c r="E17" i="11"/>
  <c r="D17" i="11" s="1"/>
  <c r="B17" i="11"/>
  <c r="E16" i="11"/>
  <c r="D16" i="11" s="1"/>
  <c r="B16" i="11"/>
  <c r="E12" i="11"/>
  <c r="D12" i="11" s="1"/>
  <c r="B12" i="11"/>
  <c r="E11" i="11"/>
  <c r="D11" i="11" s="1"/>
  <c r="B11" i="11"/>
  <c r="E10" i="11"/>
  <c r="D10" i="11" s="1"/>
  <c r="B10" i="11"/>
  <c r="E9" i="11"/>
  <c r="D9" i="11" s="1"/>
  <c r="B9" i="11"/>
  <c r="E8" i="11"/>
  <c r="D8" i="11" s="1"/>
  <c r="B8" i="11"/>
  <c r="E7" i="11"/>
  <c r="D7" i="11" s="1"/>
  <c r="B7" i="11"/>
  <c r="F22" i="15" l="1"/>
  <c r="N22" i="13"/>
  <c r="F24" i="13"/>
  <c r="G26" i="5"/>
  <c r="N24" i="5"/>
  <c r="P24" i="5"/>
  <c r="P22" i="12"/>
  <c r="F27" i="12"/>
  <c r="P21" i="5"/>
  <c r="N20" i="13"/>
  <c r="L20" i="13"/>
  <c r="L22" i="13"/>
  <c r="N22" i="12"/>
  <c r="P25" i="12"/>
  <c r="N25" i="12"/>
  <c r="N21" i="5"/>
  <c r="G24" i="6"/>
  <c r="K24" i="6" s="1"/>
  <c r="G9" i="10" l="1"/>
  <c r="G26" i="6"/>
  <c r="K26" i="6" s="1"/>
  <c r="F24" i="9"/>
  <c r="J24" i="9" s="1"/>
  <c r="F9" i="9"/>
  <c r="G24" i="10"/>
  <c r="K24" i="10" s="1"/>
  <c r="G26" i="10"/>
  <c r="K26" i="10" s="1"/>
  <c r="G26" i="8"/>
  <c r="K26" i="8" s="1"/>
  <c r="G9" i="8"/>
  <c r="G24" i="8"/>
  <c r="K24" i="8" s="1"/>
  <c r="H18" i="8" l="1"/>
  <c r="H18" i="6"/>
  <c r="G20" i="3"/>
  <c r="G18" i="3"/>
  <c r="G20" i="7"/>
  <c r="G18" i="7"/>
  <c r="F9" i="7"/>
  <c r="F9" i="3"/>
  <c r="G9" i="6"/>
  <c r="G13" i="10" l="1"/>
  <c r="I22" i="10"/>
  <c r="F26" i="9"/>
  <c r="J26" i="9" s="1"/>
  <c r="F13" i="9"/>
  <c r="F6" i="9"/>
  <c r="G13" i="8"/>
  <c r="F13" i="8"/>
  <c r="F26" i="7"/>
  <c r="J26" i="7" s="1"/>
  <c r="F24" i="7"/>
  <c r="J24" i="7" s="1"/>
  <c r="F13" i="7"/>
  <c r="F6" i="7"/>
  <c r="F13" i="3"/>
  <c r="F6" i="3"/>
  <c r="G13" i="6"/>
  <c r="F13" i="6"/>
  <c r="F26" i="3"/>
  <c r="J26" i="3" s="1"/>
  <c r="F24" i="3"/>
  <c r="J24" i="3" s="1"/>
  <c r="G28" i="8" l="1"/>
  <c r="N18" i="8"/>
  <c r="O18" i="8" s="1"/>
  <c r="P18" i="8" s="1"/>
  <c r="G28" i="6"/>
  <c r="N18" i="6"/>
  <c r="O18" i="6" s="1"/>
  <c r="P18" i="6" s="1"/>
  <c r="K18" i="6" s="1"/>
  <c r="I22" i="8"/>
  <c r="G22" i="6"/>
  <c r="I22" i="6" s="1"/>
  <c r="F13" i="10"/>
  <c r="E13" i="9"/>
  <c r="H22" i="9"/>
  <c r="H22" i="7"/>
  <c r="H6" i="3"/>
  <c r="N18" i="9" l="1"/>
  <c r="O18" i="9" s="1"/>
  <c r="P18" i="9" s="1"/>
  <c r="N20" i="9"/>
  <c r="O20" i="9" s="1"/>
  <c r="P20" i="9" s="1"/>
  <c r="N18" i="7"/>
  <c r="O18" i="7" s="1"/>
  <c r="P18" i="7" s="1"/>
  <c r="N20" i="7"/>
  <c r="O20" i="7" s="1"/>
  <c r="P20" i="7" s="1"/>
  <c r="H20" i="7" s="1"/>
  <c r="I18" i="6"/>
  <c r="G18" i="6" s="1"/>
  <c r="G20" i="6" s="1"/>
  <c r="I20" i="6" s="1"/>
  <c r="K18" i="8"/>
  <c r="I18" i="8"/>
  <c r="G18" i="8" s="1"/>
  <c r="G20" i="8" s="1"/>
  <c r="I20" i="8" s="1"/>
  <c r="G28" i="10"/>
  <c r="N18" i="10"/>
  <c r="O18" i="10" s="1"/>
  <c r="P18" i="10" s="1"/>
  <c r="E13" i="3"/>
  <c r="N20" i="3" s="1"/>
  <c r="K18" i="10" l="1"/>
  <c r="I18" i="10"/>
  <c r="J20" i="7"/>
  <c r="J20" i="9"/>
  <c r="H20" i="9"/>
  <c r="J18" i="9"/>
  <c r="H18" i="9"/>
  <c r="F18" i="9" s="1"/>
  <c r="J18" i="7"/>
  <c r="H18" i="7"/>
  <c r="O20" i="3"/>
  <c r="P20" i="3" s="1"/>
  <c r="N18" i="3"/>
  <c r="O18" i="3" s="1"/>
  <c r="P18" i="3" s="1"/>
  <c r="J18" i="3" s="1"/>
  <c r="F22" i="3"/>
  <c r="H22" i="3" s="1"/>
  <c r="J20" i="3" l="1"/>
  <c r="H20" i="3"/>
  <c r="F20" i="3" s="1"/>
  <c r="F20" i="7"/>
  <c r="G18" i="10"/>
  <c r="G20" i="10" s="1"/>
  <c r="I20" i="10" s="1"/>
  <c r="F18" i="7"/>
  <c r="F20" i="9"/>
  <c r="H18" i="3"/>
  <c r="F18" i="3" s="1"/>
  <c r="O20" i="15" l="1"/>
  <c r="P20" i="15" s="1"/>
  <c r="H20" i="15" l="1"/>
  <c r="J20" i="15"/>
  <c r="F24" i="15"/>
  <c r="O18" i="15"/>
  <c r="P18" i="15" s="1"/>
  <c r="J18" i="15" s="1"/>
  <c r="F20" i="15" l="1"/>
  <c r="H18" i="15"/>
  <c r="F18" i="15" s="1"/>
</calcChain>
</file>

<file path=xl/sharedStrings.xml><?xml version="1.0" encoding="utf-8"?>
<sst xmlns="http://schemas.openxmlformats.org/spreadsheetml/2006/main" count="606" uniqueCount="168">
  <si>
    <t>Type de projet</t>
  </si>
  <si>
    <t xml:space="preserve">Hauteur hors-sol du mur </t>
  </si>
  <si>
    <t xml:space="preserve">Longueur du mur </t>
  </si>
  <si>
    <t>Nombre de coin extérieur</t>
  </si>
  <si>
    <t>Choix de dimensions: Impériales ou métriques</t>
  </si>
  <si>
    <t>Notes:</t>
  </si>
  <si>
    <t>Résultats</t>
  </si>
  <si>
    <t>(cliquer le projet désiré)</t>
  </si>
  <si>
    <t xml:space="preserve"> </t>
  </si>
  <si>
    <t xml:space="preserve">Mur de soutènement </t>
  </si>
  <si>
    <t>Mur double face</t>
  </si>
  <si>
    <t>Colonne</t>
  </si>
  <si>
    <t xml:space="preserve">Dimensions métriques? </t>
  </si>
  <si>
    <t>(excluant couronnement, incluant partie enfouie)</t>
  </si>
  <si>
    <t>cube</t>
  </si>
  <si>
    <t>Nombre de couronnement droit</t>
  </si>
  <si>
    <t>Nombre de module de départ</t>
  </si>
  <si>
    <t>Nombre d'ancrages de coin</t>
  </si>
  <si>
    <t>Superficie totale du mur</t>
  </si>
  <si>
    <t>Mur de soutènement</t>
  </si>
  <si>
    <t>(excluant couronnement)</t>
  </si>
  <si>
    <t>un</t>
  </si>
  <si>
    <t>Muret double face</t>
  </si>
  <si>
    <t>Nombre de connecteurs double face</t>
  </si>
  <si>
    <t>Nombre de connecteurs pour coins</t>
  </si>
  <si>
    <t>Lafitt 90 mm :</t>
  </si>
  <si>
    <t>Lafitt 180 mm :</t>
  </si>
  <si>
    <t>Esplanade :</t>
  </si>
  <si>
    <t>ESPLANADE</t>
  </si>
  <si>
    <t>LAFITT TANDEM 90</t>
  </si>
  <si>
    <t>LAFITT TANDEM 180</t>
  </si>
  <si>
    <t>sac</t>
  </si>
  <si>
    <t>Nombre de couronnement ciselé</t>
  </si>
  <si>
    <t>Quantité de module de placage</t>
  </si>
  <si>
    <t>Quantité de module structuraux</t>
  </si>
  <si>
    <t>Pierre nette requise</t>
  </si>
  <si>
    <t>Surface</t>
  </si>
  <si>
    <t>Placage régulier</t>
  </si>
  <si>
    <t>Modules de placage de coin</t>
  </si>
  <si>
    <t>12A - 12B - 12C - 16D  (1.44 m² ou 15.5 pi²)</t>
  </si>
  <si>
    <t>Modules de placage régulier</t>
  </si>
  <si>
    <t>24A - 24B - 24C - 20D  (2.46 m² ou 26.5 pi²)</t>
  </si>
  <si>
    <t>Modules structuraux</t>
  </si>
  <si>
    <t>35A - 35B - 35C - 35D  (3.80 m² ou 41.0 pi²)</t>
  </si>
  <si>
    <t>42,5 po / 1,08 m (6 rangs)</t>
  </si>
  <si>
    <t>49,6 po / 1,26 m (7 rangs)</t>
  </si>
  <si>
    <t>Placage de coin</t>
  </si>
  <si>
    <t>Colonnes Tandem</t>
  </si>
  <si>
    <t>Hauteur</t>
  </si>
  <si>
    <t>Nb rang</t>
  </si>
  <si>
    <t>Cube</t>
  </si>
  <si>
    <t xml:space="preserve">Module </t>
  </si>
  <si>
    <t>po</t>
  </si>
  <si>
    <t>mm</t>
  </si>
  <si>
    <t>pi²</t>
  </si>
  <si>
    <t>m²</t>
  </si>
  <si>
    <t>structural</t>
  </si>
  <si>
    <t>10A - 10B - 10C - 10D</t>
  </si>
  <si>
    <t>5A - 10B - 30C</t>
  </si>
  <si>
    <t>12A - 12B - 12C - 12D</t>
  </si>
  <si>
    <t>6A - 12B - 36C</t>
  </si>
  <si>
    <t>14A - 14B - 14C - 14D</t>
  </si>
  <si>
    <t>7A - 14B - 42C</t>
  </si>
  <si>
    <t>12B - 16C - 12D</t>
  </si>
  <si>
    <t>14A - 12B - 16C -12D</t>
  </si>
  <si>
    <t>16B - 16C - 16D</t>
  </si>
  <si>
    <t>16A -16B - 16C - 16D</t>
  </si>
  <si>
    <t>20B - 16C - 20D</t>
  </si>
  <si>
    <t>18A - 20B - 16C - 20D</t>
  </si>
  <si>
    <t>20E</t>
  </si>
  <si>
    <t>24E</t>
  </si>
  <si>
    <t>28E</t>
  </si>
  <si>
    <t>20F</t>
  </si>
  <si>
    <t>24F</t>
  </si>
  <si>
    <t>28F</t>
  </si>
  <si>
    <t>20E - 8F - 4G   (2.30 m² ou 24.8 pi²)</t>
  </si>
  <si>
    <t>20E - 20F - 20G   (4.32 m² ou 46.5 pi²)</t>
  </si>
  <si>
    <t>Module</t>
  </si>
  <si>
    <t xml:space="preserve">placage </t>
  </si>
  <si>
    <t>10F</t>
  </si>
  <si>
    <t>12F</t>
  </si>
  <si>
    <t>14F</t>
  </si>
  <si>
    <t>20G</t>
  </si>
  <si>
    <t>10G</t>
  </si>
  <si>
    <t>24G</t>
  </si>
  <si>
    <t>12G</t>
  </si>
  <si>
    <t>28G</t>
  </si>
  <si>
    <t>14G</t>
  </si>
  <si>
    <t xml:space="preserve">Modules de placage </t>
  </si>
  <si>
    <t>20E - 20F - 20G   (5.06 m² ou 54.5 pi²)</t>
  </si>
  <si>
    <t xml:space="preserve">Hauteur </t>
  </si>
  <si>
    <r>
      <rPr>
        <b/>
        <sz val="11"/>
        <color theme="1"/>
        <rFont val="Calibri"/>
        <family val="2"/>
        <scheme val="minor"/>
      </rPr>
      <t>Lafitt Tandem 90</t>
    </r>
    <r>
      <rPr>
        <sz val="11"/>
        <color theme="1"/>
        <rFont val="Calibri"/>
        <family val="2"/>
        <scheme val="minor"/>
      </rPr>
      <t xml:space="preserve"> - 670 x 670 mm (26 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x 26 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po) et  737 x 737 mm (29 x 29 po)</t>
    </r>
  </si>
  <si>
    <r>
      <rPr>
        <b/>
        <sz val="11"/>
        <color theme="1"/>
        <rFont val="Calibri"/>
        <family val="2"/>
        <scheme val="minor"/>
      </rPr>
      <t>Lafitt Tandem 180</t>
    </r>
    <r>
      <rPr>
        <sz val="11"/>
        <color theme="1"/>
        <rFont val="Calibri"/>
        <family val="2"/>
        <scheme val="minor"/>
      </rPr>
      <t xml:space="preserve"> - 737 x 737 mm (29 x 29 po) et  804 x 804 mm (31⅝ x 31⅝ po)</t>
    </r>
  </si>
  <si>
    <r>
      <rPr>
        <b/>
        <sz val="11"/>
        <color theme="1"/>
        <rFont val="Calibri"/>
        <family val="2"/>
        <scheme val="minor"/>
      </rPr>
      <t>Esplanade Tandem 180</t>
    </r>
    <r>
      <rPr>
        <sz val="11"/>
        <color theme="1"/>
        <rFont val="Calibri"/>
        <family val="2"/>
        <scheme val="minor"/>
      </rPr>
      <t xml:space="preserve"> - 555 x 555 mm (22 x 22 po) et  622 x 622 mm (24½ x 24½ po)</t>
    </r>
  </si>
  <si>
    <t>Surface :</t>
  </si>
  <si>
    <t>Placage de coin :</t>
  </si>
  <si>
    <t>Placage régulier :</t>
  </si>
  <si>
    <t>35,4 po / 0,90 m (5 rangs)</t>
  </si>
  <si>
    <t>35,4 po / 0,90 m (10 rangs)</t>
  </si>
  <si>
    <t>42,5 po / 1,08 m (12 rangs)</t>
  </si>
  <si>
    <t>49,6 po / 1,26 m (14 rangs)</t>
  </si>
  <si>
    <t>Placage :</t>
  </si>
  <si>
    <t>Disponibilité des modules sur une palette:</t>
  </si>
  <si>
    <t>ESPLANADE TANDEM</t>
  </si>
  <si>
    <t>Format #1
 26 3/8 x 26 3/8 PO (670 x 670 mm)</t>
  </si>
  <si>
    <t>Format #2
29 X 29 PO (737 X 737 mm)</t>
  </si>
  <si>
    <t>Format #1
29 X 29 PO (737 X 737 mm)</t>
  </si>
  <si>
    <t>Format #2
31 5/8 X 31 5/8  PO (804 X 804 mm)</t>
  </si>
  <si>
    <t>Format #2 
24 1/2 X 24 1/2 PO (622 X 622 mm)</t>
  </si>
  <si>
    <t>Format #1
22 x 22 PO (555 x 555 mm)</t>
  </si>
  <si>
    <t>12F - 16G    (2.00 m² ou 21.7 pi²)</t>
  </si>
  <si>
    <t>}</t>
  </si>
  <si>
    <t>20E (pl.de coin)</t>
  </si>
  <si>
    <t>24E (pl.de coin)</t>
  </si>
  <si>
    <t>28E (pl.de coin)</t>
  </si>
  <si>
    <t>Module structural :</t>
  </si>
  <si>
    <t>rang</t>
  </si>
  <si>
    <t>tronk</t>
  </si>
  <si>
    <t>rows</t>
  </si>
  <si>
    <t>row</t>
  </si>
  <si>
    <t>Blocs de départ:</t>
  </si>
  <si>
    <t>Blocs de départ :</t>
  </si>
  <si>
    <t>max</t>
  </si>
  <si>
    <t>Entrez X si oui, ou laisser vide pour système impérial</t>
  </si>
  <si>
    <t>Lafitt mixte 90 &amp; 180 mm</t>
  </si>
  <si>
    <t>LAFITT TANDEM 90 &amp; 180</t>
  </si>
  <si>
    <t>La hauteur de ces colonnes inclut la partie enfouie.</t>
  </si>
  <si>
    <t>ajusté</t>
  </si>
  <si>
    <t>La hauteur du mur à entrer doit correspondre à la hauteur du mur hors-sol</t>
  </si>
  <si>
    <t>Hauteur en multiples de 90 mm ou 3,5 pouces</t>
  </si>
  <si>
    <t>Les coins sont des coins extérieurs à 90°</t>
  </si>
  <si>
    <t>Pour des hauteurs différentes, subdiviser le mur en plusieurs sections</t>
  </si>
  <si>
    <t>Les résultats donnent la superficie du mur qui correspond à la hauteur du mur hors-sol</t>
  </si>
  <si>
    <t>La superficie du mur double face correspond à la surface totale des 2 façades d'un mur</t>
  </si>
  <si>
    <t>(excluant le couronnement)</t>
  </si>
  <si>
    <t>Les résultats sont exprimés par cube et par rang si le dernier cube n'est pas un cube plein</t>
  </si>
  <si>
    <t>Le choix des couronnements peut être différents</t>
  </si>
  <si>
    <t>Numéro de colonne désirée: (1 à 6)</t>
  </si>
  <si>
    <t>en fonction du format et de la hauteur*</t>
  </si>
  <si>
    <t>* Basé sur les modèles montrés au guide technique des murets Tandem</t>
  </si>
  <si>
    <t>Note:</t>
  </si>
  <si>
    <t>Les modules structuraux "A" doivent être coupés en 2</t>
  </si>
  <si>
    <t>Les placages de coin et les placages réguliers se retrouvent sur un même cube</t>
  </si>
  <si>
    <t xml:space="preserve">Note: </t>
  </si>
  <si>
    <t>Tous les modules de placage E sont des placages de coin; ils sont aussi utilisés comme placages réguliers</t>
  </si>
  <si>
    <t>unité</t>
  </si>
  <si>
    <t>(sans couronnement), plus une rangée de blocs enfouis (90 mm ou 3,5 po)</t>
  </si>
  <si>
    <t>La hauteur est arrondie à 3,5 pouces supérieure (90 mm)  (ex: 22 po = 24,5)</t>
  </si>
  <si>
    <t>Couronnement recommendé :</t>
  </si>
  <si>
    <t>Couronnement recommandé :</t>
  </si>
  <si>
    <t xml:space="preserve">Couronnement recommandé : </t>
  </si>
  <si>
    <t xml:space="preserve">Surface : </t>
  </si>
  <si>
    <t xml:space="preserve">Placage de coin : </t>
  </si>
  <si>
    <t xml:space="preserve">Placage régulier : </t>
  </si>
  <si>
    <t xml:space="preserve">Module structural : </t>
  </si>
  <si>
    <t xml:space="preserve">Blocs de départ : </t>
  </si>
  <si>
    <r>
      <t>Quantité de module de placage</t>
    </r>
    <r>
      <rPr>
        <b/>
        <sz val="12"/>
        <color theme="1"/>
        <rFont val="Arial Narrow"/>
        <family val="2"/>
      </rPr>
      <t xml:space="preserve"> </t>
    </r>
    <r>
      <rPr>
        <b/>
        <sz val="12"/>
        <color rgb="FF0070C0"/>
        <rFont val="Arial Narrow"/>
        <family val="2"/>
      </rPr>
      <t>90</t>
    </r>
    <r>
      <rPr>
        <sz val="11"/>
        <color theme="1"/>
        <rFont val="Arial Narrow"/>
        <family val="2"/>
      </rPr>
      <t xml:space="preserve"> mm (85%)</t>
    </r>
  </si>
  <si>
    <r>
      <t xml:space="preserve">Quantité de module de placage </t>
    </r>
    <r>
      <rPr>
        <b/>
        <sz val="12"/>
        <color rgb="FF0070C0"/>
        <rFont val="Arial Narrow"/>
        <family val="2"/>
      </rPr>
      <t>180</t>
    </r>
    <r>
      <rPr>
        <sz val="11"/>
        <color theme="1"/>
        <rFont val="Arial Narrow"/>
        <family val="2"/>
      </rPr>
      <t xml:space="preserve"> mm (15%)</t>
    </r>
  </si>
  <si>
    <r>
      <t>Quantité de module structuraux</t>
    </r>
    <r>
      <rPr>
        <b/>
        <sz val="12"/>
        <color theme="1"/>
        <rFont val="Arial Narrow"/>
        <family val="2"/>
      </rPr>
      <t xml:space="preserve"> </t>
    </r>
    <r>
      <rPr>
        <b/>
        <sz val="12"/>
        <color rgb="FF0070C0"/>
        <rFont val="Arial Narrow"/>
        <family val="2"/>
      </rPr>
      <t>90</t>
    </r>
    <r>
      <rPr>
        <sz val="11"/>
        <color theme="1"/>
        <rFont val="Arial Narrow"/>
        <family val="2"/>
      </rPr>
      <t xml:space="preserve"> mm (85%)</t>
    </r>
  </si>
  <si>
    <r>
      <t xml:space="preserve">Quantité de module structuraux </t>
    </r>
    <r>
      <rPr>
        <b/>
        <sz val="12"/>
        <color rgb="FF0070C0"/>
        <rFont val="Arial Narrow"/>
        <family val="2"/>
      </rPr>
      <t>180</t>
    </r>
    <r>
      <rPr>
        <sz val="11"/>
        <color theme="1"/>
        <rFont val="Arial Narrow"/>
        <family val="2"/>
      </rPr>
      <t xml:space="preserve"> mm (15%)</t>
    </r>
  </si>
  <si>
    <t>Quantité de module de placage 90 mm (85%)</t>
  </si>
  <si>
    <t>Quantité de module de placage 180 mm (15%)</t>
  </si>
  <si>
    <t>ensemble</t>
  </si>
  <si>
    <t xml:space="preserve"> ou 7 pouces (180mm) pour le Lafitt 180 et Esplanade</t>
  </si>
  <si>
    <t>La hauteur est arrondie à 7 pouces supérieure (180 mm)  (ex: 20 po = 21 po)</t>
  </si>
  <si>
    <t>Hauteur en multiples de 7 pouces ou 180 mm</t>
  </si>
  <si>
    <t>Hauteur en multiples de 90 mm ou 3,5 pouces (ou 7 pouces ou 180 mm pour Lafitt 180 et Esplanade)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</si>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</sst>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4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0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48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70C0"/>
      <name val="Arial Narrow"/>
      <family val="2"/>
    </font>
    <font>
      <b/>
      <sz val="16"/>
      <color theme="0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46"/>
      <color theme="1"/>
      <name val="Calibri"/>
      <family val="2"/>
      <scheme val="minor"/>
    </font>
    <font>
      <shadow/>
      <sz val="16"/>
      <color rgb="FF4F81BD"/>
      <name val="Arial Black"/>
      <family val="2"/>
    </font>
    <font>
      <sz val="16"/>
      <name val="Arial Black"/>
      <family val="2"/>
    </font>
    <font>
      <sz val="16"/>
      <color rgb="FFFF0000"/>
      <name val="Arial Black"/>
      <family val="2"/>
    </font>
    <font>
      <sz val="16"/>
      <color theme="1"/>
      <name val="Arial Black"/>
      <family val="2"/>
    </font>
    <font>
      <shadow/>
      <sz val="16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35">
    <xf numFmtId="0" fontId="0" fillId="0" borderId="0" xfId="0"/>
    <xf numFmtId="0" fontId="0" fillId="0" borderId="0" xfId="0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0" fillId="4" borderId="0" xfId="0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vertical="center"/>
    </xf>
    <xf numFmtId="0" fontId="0" fillId="5" borderId="0" xfId="0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2" fontId="12" fillId="7" borderId="1" xfId="0" applyNumberFormat="1" applyFont="1" applyFill="1" applyBorder="1" applyAlignment="1" applyProtection="1">
      <alignment horizontal="center" vertical="center"/>
      <protection locked="0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0" fontId="7" fillId="5" borderId="0" xfId="0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vertical="center"/>
    </xf>
    <xf numFmtId="0" fontId="0" fillId="4" borderId="0" xfId="0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horizontal="right" vertical="center"/>
    </xf>
    <xf numFmtId="0" fontId="0" fillId="5" borderId="0" xfId="0" applyFont="1" applyFill="1" applyBorder="1" applyAlignment="1" applyProtection="1">
      <alignment horizontal="left" vertical="center"/>
    </xf>
    <xf numFmtId="0" fontId="0" fillId="5" borderId="0" xfId="0" applyFont="1" applyFill="1" applyBorder="1" applyAlignment="1" applyProtection="1">
      <alignment vertical="center" textRotation="90" wrapText="1"/>
    </xf>
    <xf numFmtId="2" fontId="0" fillId="5" borderId="0" xfId="0" applyNumberFormat="1" applyFont="1" applyFill="1" applyBorder="1" applyAlignment="1" applyProtection="1">
      <alignment vertical="center"/>
    </xf>
    <xf numFmtId="164" fontId="0" fillId="3" borderId="1" xfId="0" applyNumberFormat="1" applyFont="1" applyFill="1" applyBorder="1" applyAlignment="1" applyProtection="1">
      <alignment horizontal="center" vertical="center"/>
    </xf>
    <xf numFmtId="164" fontId="0" fillId="5" borderId="0" xfId="0" applyNumberFormat="1" applyFont="1" applyFill="1" applyBorder="1" applyAlignment="1" applyProtection="1">
      <alignment horizontal="center" vertical="center"/>
    </xf>
    <xf numFmtId="0" fontId="2" fillId="5" borderId="0" xfId="0" applyFont="1" applyFill="1" applyBorder="1" applyAlignment="1" applyProtection="1">
      <alignment vertical="center"/>
    </xf>
    <xf numFmtId="1" fontId="0" fillId="3" borderId="1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left" vertical="center" indent="1"/>
    </xf>
    <xf numFmtId="0" fontId="0" fillId="5" borderId="0" xfId="0" applyFill="1" applyBorder="1" applyAlignment="1" applyProtection="1">
      <alignment horizontal="left" vertical="center" indent="1"/>
    </xf>
    <xf numFmtId="0" fontId="0" fillId="4" borderId="0" xfId="0" applyFill="1" applyBorder="1" applyAlignment="1" applyProtection="1">
      <alignment horizontal="left" vertical="center" indent="1"/>
    </xf>
    <xf numFmtId="0" fontId="0" fillId="5" borderId="0" xfId="0" applyFont="1" applyFill="1" applyBorder="1" applyAlignment="1" applyProtection="1">
      <alignment horizontal="left" vertical="center" indent="2"/>
    </xf>
    <xf numFmtId="0" fontId="2" fillId="5" borderId="0" xfId="0" applyFont="1" applyFill="1" applyBorder="1" applyAlignment="1" applyProtection="1">
      <alignment horizontal="left" vertical="center" indent="2"/>
    </xf>
    <xf numFmtId="0" fontId="0" fillId="5" borderId="0" xfId="0" applyFill="1" applyBorder="1" applyAlignment="1" applyProtection="1">
      <alignment horizontal="left" vertical="center" indent="2"/>
    </xf>
    <xf numFmtId="0" fontId="0" fillId="4" borderId="0" xfId="0" applyFill="1" applyBorder="1" applyAlignment="1" applyProtection="1">
      <alignment horizontal="left" vertical="center" indent="2"/>
    </xf>
    <xf numFmtId="0" fontId="8" fillId="5" borderId="0" xfId="0" applyFont="1" applyFill="1" applyBorder="1" applyAlignment="1" applyProtection="1">
      <alignment horizontal="left" vertical="center" indent="2"/>
    </xf>
    <xf numFmtId="0" fontId="11" fillId="5" borderId="0" xfId="0" applyFont="1" applyFill="1" applyBorder="1" applyAlignment="1" applyProtection="1">
      <alignment horizontal="left" vertical="center" indent="2"/>
    </xf>
    <xf numFmtId="0" fontId="0" fillId="5" borderId="0" xfId="0" applyFont="1" applyFill="1" applyBorder="1" applyAlignment="1" applyProtection="1">
      <alignment horizontal="left" vertical="center" indent="4"/>
    </xf>
    <xf numFmtId="0" fontId="2" fillId="5" borderId="0" xfId="0" applyFont="1" applyFill="1" applyBorder="1" applyAlignment="1" applyProtection="1">
      <alignment horizontal="left" vertical="center" indent="4"/>
    </xf>
    <xf numFmtId="0" fontId="0" fillId="5" borderId="0" xfId="0" applyFill="1" applyBorder="1" applyAlignment="1" applyProtection="1">
      <alignment horizontal="left" vertical="center" indent="4"/>
    </xf>
    <xf numFmtId="0" fontId="0" fillId="4" borderId="0" xfId="0" applyFill="1" applyBorder="1" applyAlignment="1" applyProtection="1">
      <alignment horizontal="left" vertical="center" indent="4"/>
    </xf>
    <xf numFmtId="0" fontId="0" fillId="5" borderId="0" xfId="0" applyFont="1" applyFill="1" applyBorder="1" applyAlignment="1" applyProtection="1">
      <alignment horizontal="left" indent="2"/>
    </xf>
    <xf numFmtId="2" fontId="2" fillId="6" borderId="0" xfId="0" applyNumberFormat="1" applyFont="1" applyFill="1" applyBorder="1" applyAlignment="1" applyProtection="1">
      <alignment horizontal="right" vertical="center"/>
    </xf>
    <xf numFmtId="0" fontId="2" fillId="6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2" fontId="0" fillId="6" borderId="0" xfId="0" applyNumberFormat="1" applyFont="1" applyFill="1" applyBorder="1" applyAlignment="1" applyProtection="1">
      <alignment horizontal="right" vertical="center"/>
    </xf>
    <xf numFmtId="0" fontId="0" fillId="6" borderId="0" xfId="0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horizontal="left" vertical="center" indent="3"/>
    </xf>
    <xf numFmtId="0" fontId="8" fillId="5" borderId="0" xfId="0" applyFont="1" applyFill="1" applyBorder="1" applyAlignment="1" applyProtection="1">
      <alignment horizontal="left" vertical="center" indent="3"/>
    </xf>
    <xf numFmtId="0" fontId="2" fillId="5" borderId="0" xfId="0" applyFont="1" applyFill="1" applyBorder="1" applyAlignment="1" applyProtection="1">
      <alignment horizontal="left" vertical="center" indent="3"/>
    </xf>
    <xf numFmtId="0" fontId="20" fillId="5" borderId="0" xfId="0" applyFont="1" applyFill="1" applyBorder="1" applyAlignment="1" applyProtection="1">
      <alignment horizontal="left" vertical="center" indent="2"/>
    </xf>
    <xf numFmtId="0" fontId="20" fillId="5" borderId="0" xfId="0" applyFont="1" applyFill="1" applyBorder="1" applyAlignment="1" applyProtection="1">
      <alignment vertical="center"/>
    </xf>
    <xf numFmtId="0" fontId="20" fillId="5" borderId="0" xfId="0" applyFont="1" applyFill="1" applyBorder="1" applyAlignment="1" applyProtection="1">
      <alignment horizontal="right" vertical="center" indent="1"/>
    </xf>
    <xf numFmtId="0" fontId="20" fillId="5" borderId="0" xfId="0" applyFont="1" applyFill="1" applyBorder="1" applyAlignment="1" applyProtection="1">
      <alignment horizontal="right" vertical="center"/>
    </xf>
    <xf numFmtId="0" fontId="20" fillId="5" borderId="0" xfId="0" applyFon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left" vertical="center"/>
    </xf>
    <xf numFmtId="0" fontId="0" fillId="5" borderId="0" xfId="0" applyFill="1" applyBorder="1" applyAlignment="1" applyProtection="1">
      <alignment horizontal="left" vertical="center"/>
    </xf>
    <xf numFmtId="1" fontId="0" fillId="5" borderId="0" xfId="0" applyNumberFormat="1" applyFont="1" applyFill="1" applyBorder="1" applyAlignment="1" applyProtection="1">
      <alignment horizontal="left" vertical="center"/>
    </xf>
    <xf numFmtId="49" fontId="21" fillId="5" borderId="0" xfId="0" quotePrefix="1" applyNumberFormat="1" applyFont="1" applyFill="1" applyBorder="1" applyAlignment="1" applyProtection="1">
      <alignment vertical="center"/>
    </xf>
    <xf numFmtId="49" fontId="21" fillId="5" borderId="0" xfId="0" applyNumberFormat="1" applyFont="1" applyFill="1" applyBorder="1" applyAlignment="1" applyProtection="1">
      <alignment vertical="center"/>
    </xf>
    <xf numFmtId="49" fontId="21" fillId="5" borderId="0" xfId="0" quotePrefix="1" applyNumberFormat="1" applyFont="1" applyFill="1" applyAlignment="1" applyProtection="1">
      <alignment vertical="center"/>
    </xf>
    <xf numFmtId="1" fontId="0" fillId="5" borderId="0" xfId="0" applyNumberFormat="1" applyFont="1" applyFill="1" applyBorder="1" applyAlignment="1" applyProtection="1">
      <alignment horizontal="center" vertical="center"/>
    </xf>
    <xf numFmtId="49" fontId="21" fillId="5" borderId="0" xfId="0" quotePrefix="1" applyNumberFormat="1" applyFont="1" applyFill="1" applyBorder="1" applyAlignment="1" applyProtection="1">
      <alignment horizontal="left" vertical="center"/>
    </xf>
    <xf numFmtId="49" fontId="21" fillId="5" borderId="0" xfId="0" applyNumberFormat="1" applyFont="1" applyFill="1" applyBorder="1" applyAlignment="1" applyProtection="1">
      <alignment horizontal="left" vertical="center"/>
    </xf>
    <xf numFmtId="49" fontId="21" fillId="5" borderId="0" xfId="0" quotePrefix="1" applyNumberFormat="1" applyFont="1" applyFill="1" applyAlignment="1" applyProtection="1">
      <alignment horizontal="left" vertical="center"/>
    </xf>
    <xf numFmtId="0" fontId="24" fillId="9" borderId="0" xfId="0" applyFont="1" applyFill="1" applyBorder="1" applyAlignment="1" applyProtection="1">
      <alignment horizontal="left" vertical="center"/>
    </xf>
    <xf numFmtId="0" fontId="12" fillId="9" borderId="0" xfId="0" applyFont="1" applyFill="1" applyBorder="1" applyAlignment="1" applyProtection="1">
      <alignment vertical="center"/>
    </xf>
    <xf numFmtId="0" fontId="10" fillId="9" borderId="0" xfId="0" applyFont="1" applyFill="1" applyBorder="1" applyAlignment="1" applyProtection="1">
      <alignment vertical="center"/>
    </xf>
    <xf numFmtId="0" fontId="24" fillId="9" borderId="0" xfId="0" applyFont="1" applyFill="1" applyBorder="1" applyAlignment="1" applyProtection="1">
      <alignment horizontal="left" vertical="center" indent="2"/>
    </xf>
    <xf numFmtId="0" fontId="12" fillId="9" borderId="0" xfId="0" applyFont="1" applyFill="1" applyBorder="1" applyAlignment="1" applyProtection="1">
      <alignment horizontal="left" vertical="center" indent="2"/>
    </xf>
    <xf numFmtId="0" fontId="10" fillId="9" borderId="0" xfId="0" applyFont="1" applyFill="1" applyBorder="1" applyAlignment="1" applyProtection="1">
      <alignment horizontal="left" vertical="center" indent="2"/>
    </xf>
    <xf numFmtId="0" fontId="12" fillId="9" borderId="0" xfId="0" applyFont="1" applyFill="1" applyBorder="1" applyAlignment="1" applyProtection="1">
      <alignment horizontal="left" vertical="center"/>
    </xf>
    <xf numFmtId="0" fontId="10" fillId="9" borderId="0" xfId="0" applyFont="1" applyFill="1" applyBorder="1" applyAlignment="1" applyProtection="1">
      <alignment horizontal="left" vertical="center"/>
    </xf>
    <xf numFmtId="0" fontId="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0" fillId="0" borderId="10" xfId="0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0" fillId="0" borderId="7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2" fontId="0" fillId="0" borderId="5" xfId="0" applyNumberForma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2" fontId="0" fillId="0" borderId="6" xfId="0" applyNumberFormat="1" applyBorder="1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/>
    </xf>
    <xf numFmtId="1" fontId="0" fillId="5" borderId="0" xfId="0" applyNumberFormat="1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0" fillId="5" borderId="2" xfId="0" applyFont="1" applyFill="1" applyBorder="1" applyAlignment="1" applyProtection="1">
      <alignment vertical="center"/>
    </xf>
    <xf numFmtId="0" fontId="0" fillId="5" borderId="3" xfId="0" applyFont="1" applyFill="1" applyBorder="1" applyAlignment="1" applyProtection="1">
      <alignment vertical="center"/>
    </xf>
    <xf numFmtId="0" fontId="0" fillId="5" borderId="3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vertical="center" wrapText="1"/>
    </xf>
    <xf numFmtId="0" fontId="0" fillId="5" borderId="5" xfId="0" applyFont="1" applyFill="1" applyBorder="1" applyAlignment="1" applyProtection="1">
      <alignment vertical="center"/>
    </xf>
    <xf numFmtId="0" fontId="0" fillId="5" borderId="6" xfId="0" applyFont="1" applyFill="1" applyBorder="1" applyAlignment="1" applyProtection="1">
      <alignment vertical="center"/>
    </xf>
    <xf numFmtId="0" fontId="7" fillId="6" borderId="1" xfId="0" applyFont="1" applyFill="1" applyBorder="1" applyAlignment="1" applyProtection="1">
      <alignment horizontal="center" vertical="center"/>
    </xf>
    <xf numFmtId="0" fontId="0" fillId="5" borderId="7" xfId="0" applyFont="1" applyFill="1" applyBorder="1" applyAlignment="1" applyProtection="1">
      <alignment horizontal="center" vertical="center" wrapText="1"/>
    </xf>
    <xf numFmtId="0" fontId="0" fillId="5" borderId="8" xfId="0" applyFont="1" applyFill="1" applyBorder="1" applyAlignment="1" applyProtection="1">
      <alignment horizontal="center" vertical="center" wrapText="1"/>
    </xf>
    <xf numFmtId="0" fontId="0" fillId="5" borderId="9" xfId="0" applyFont="1" applyFill="1" applyBorder="1" applyAlignment="1" applyProtection="1">
      <alignment vertical="center"/>
    </xf>
    <xf numFmtId="0" fontId="0" fillId="5" borderId="7" xfId="0" applyFont="1" applyFill="1" applyBorder="1" applyAlignment="1" applyProtection="1">
      <alignment vertical="center"/>
    </xf>
    <xf numFmtId="0" fontId="0" fillId="5" borderId="8" xfId="0" applyFont="1" applyFill="1" applyBorder="1" applyAlignment="1" applyProtection="1">
      <alignment vertical="center"/>
    </xf>
    <xf numFmtId="164" fontId="0" fillId="3" borderId="12" xfId="0" applyNumberFormat="1" applyFont="1" applyFill="1" applyBorder="1" applyAlignment="1" applyProtection="1">
      <alignment horizontal="left" vertical="center"/>
    </xf>
    <xf numFmtId="0" fontId="0" fillId="3" borderId="13" xfId="0" applyFont="1" applyFill="1" applyBorder="1" applyAlignment="1" applyProtection="1">
      <alignment vertical="center"/>
    </xf>
    <xf numFmtId="0" fontId="0" fillId="3" borderId="14" xfId="0" applyFont="1" applyFill="1" applyBorder="1" applyAlignment="1" applyProtection="1">
      <alignment vertical="center"/>
    </xf>
    <xf numFmtId="164" fontId="0" fillId="3" borderId="13" xfId="0" applyNumberFormat="1" applyFont="1" applyFill="1" applyBorder="1" applyAlignment="1" applyProtection="1">
      <alignment vertical="center"/>
    </xf>
    <xf numFmtId="164" fontId="0" fillId="5" borderId="0" xfId="0" applyNumberFormat="1" applyFont="1" applyFill="1" applyBorder="1" applyAlignment="1" applyProtection="1">
      <alignment vertical="center"/>
    </xf>
    <xf numFmtId="0" fontId="0" fillId="5" borderId="0" xfId="0" applyFont="1" applyFill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 indent="1"/>
    </xf>
    <xf numFmtId="0" fontId="0" fillId="0" borderId="0" xfId="0" applyFill="1" applyBorder="1" applyAlignment="1" applyProtection="1">
      <alignment horizontal="left" vertical="center" indent="1"/>
    </xf>
    <xf numFmtId="0" fontId="20" fillId="0" borderId="0" xfId="0" applyFont="1" applyFill="1" applyBorder="1" applyAlignment="1" applyProtection="1">
      <alignment horizontal="left" vertical="center" indent="1"/>
    </xf>
    <xf numFmtId="0" fontId="20" fillId="0" borderId="0" xfId="0" applyFont="1" applyFill="1" applyBorder="1" applyAlignment="1" applyProtection="1">
      <alignment horizontal="left" vertical="center"/>
    </xf>
    <xf numFmtId="0" fontId="7" fillId="5" borderId="6" xfId="0" applyFont="1" applyFill="1" applyBorder="1" applyAlignment="1" applyProtection="1">
      <alignment vertical="center" wrapText="1"/>
    </xf>
    <xf numFmtId="0" fontId="13" fillId="6" borderId="1" xfId="0" applyFont="1" applyFill="1" applyBorder="1" applyAlignment="1" applyProtection="1">
      <alignment horizontal="center" vertical="center"/>
    </xf>
    <xf numFmtId="0" fontId="0" fillId="5" borderId="6" xfId="0" applyFont="1" applyFill="1" applyBorder="1" applyAlignment="1" applyProtection="1">
      <alignment horizontal="center" vertical="center" wrapText="1"/>
    </xf>
    <xf numFmtId="164" fontId="9" fillId="5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indent="1"/>
    </xf>
    <xf numFmtId="0" fontId="5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0" xfId="1" applyFont="1" applyBorder="1" applyAlignment="1" applyProtection="1">
      <alignment vertical="center"/>
    </xf>
    <xf numFmtId="0" fontId="16" fillId="0" borderId="0" xfId="0" applyFont="1" applyAlignment="1" applyProtection="1">
      <alignment horizontal="left" vertical="center" indent="1"/>
    </xf>
    <xf numFmtId="0" fontId="17" fillId="0" borderId="0" xfId="0" applyFont="1" applyAlignment="1" applyProtection="1">
      <alignment horizontal="right" vertical="center" indent="1"/>
    </xf>
    <xf numFmtId="0" fontId="17" fillId="0" borderId="0" xfId="0" applyFont="1" applyAlignment="1" applyProtection="1">
      <alignment horizontal="right" vertical="center"/>
    </xf>
    <xf numFmtId="0" fontId="17" fillId="0" borderId="0" xfId="0" applyFont="1" applyAlignment="1" applyProtection="1">
      <alignment horizontal="left" vertical="center" indent="1"/>
    </xf>
    <xf numFmtId="49" fontId="17" fillId="0" borderId="0" xfId="0" quotePrefix="1" applyNumberFormat="1" applyFont="1" applyBorder="1" applyAlignment="1" applyProtection="1">
      <alignment horizontal="left" vertical="center" indent="1"/>
    </xf>
    <xf numFmtId="0" fontId="17" fillId="0" borderId="0" xfId="0" applyFont="1" applyAlignment="1" applyProtection="1">
      <alignment vertical="center"/>
    </xf>
    <xf numFmtId="49" fontId="17" fillId="0" borderId="0" xfId="0" applyNumberFormat="1" applyFont="1" applyBorder="1" applyAlignment="1" applyProtection="1">
      <alignment horizontal="left" vertical="center" indent="1"/>
    </xf>
    <xf numFmtId="0" fontId="4" fillId="0" borderId="0" xfId="0" applyFont="1" applyAlignment="1" applyProtection="1">
      <alignment horizontal="left" vertical="center" indent="1"/>
    </xf>
    <xf numFmtId="49" fontId="17" fillId="0" borderId="0" xfId="0" quotePrefix="1" applyNumberFormat="1" applyFont="1" applyAlignment="1" applyProtection="1">
      <alignment horizontal="left" vertical="center" indent="1"/>
    </xf>
    <xf numFmtId="0" fontId="1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49" fontId="4" fillId="0" borderId="0" xfId="0" quotePrefix="1" applyNumberFormat="1" applyFont="1" applyAlignment="1" applyProtection="1">
      <alignment vertical="center"/>
    </xf>
    <xf numFmtId="0" fontId="18" fillId="5" borderId="0" xfId="0" applyFont="1" applyFill="1" applyAlignment="1" applyProtection="1">
      <alignment vertical="center"/>
    </xf>
    <xf numFmtId="0" fontId="4" fillId="4" borderId="0" xfId="0" applyFont="1" applyFill="1" applyAlignment="1" applyProtection="1">
      <alignment horizontal="left" vertical="center" indent="1"/>
    </xf>
    <xf numFmtId="0" fontId="4" fillId="0" borderId="0" xfId="0" applyFont="1" applyBorder="1" applyAlignment="1" applyProtection="1">
      <alignment vertical="center"/>
    </xf>
    <xf numFmtId="0" fontId="10" fillId="5" borderId="0" xfId="0" applyFont="1" applyFill="1" applyBorder="1" applyAlignment="1" applyProtection="1">
      <alignment vertical="center"/>
    </xf>
    <xf numFmtId="0" fontId="25" fillId="5" borderId="0" xfId="0" applyFont="1" applyFill="1" applyBorder="1" applyAlignment="1" applyProtection="1">
      <alignment horizontal="left" vertical="center"/>
    </xf>
    <xf numFmtId="0" fontId="25" fillId="5" borderId="0" xfId="0" applyFont="1" applyFill="1" applyBorder="1" applyAlignment="1" applyProtection="1">
      <alignment horizontal="center" vertical="center"/>
    </xf>
    <xf numFmtId="0" fontId="26" fillId="5" borderId="0" xfId="0" applyFont="1" applyFill="1" applyBorder="1" applyAlignment="1" applyProtection="1">
      <alignment horizontal="center" vertical="center"/>
    </xf>
    <xf numFmtId="0" fontId="26" fillId="5" borderId="0" xfId="0" applyFont="1" applyFill="1" applyBorder="1" applyAlignment="1" applyProtection="1">
      <alignment horizontal="left" vertical="center"/>
    </xf>
    <xf numFmtId="0" fontId="27" fillId="5" borderId="0" xfId="0" applyFont="1" applyFill="1" applyBorder="1" applyAlignment="1" applyProtection="1">
      <alignment horizontal="center" vertical="center"/>
    </xf>
    <xf numFmtId="0" fontId="2" fillId="3" borderId="13" xfId="0" applyFont="1" applyFill="1" applyBorder="1" applyAlignment="1" applyProtection="1">
      <alignment vertical="center"/>
    </xf>
    <xf numFmtId="0" fontId="15" fillId="3" borderId="13" xfId="0" applyFont="1" applyFill="1" applyBorder="1" applyAlignment="1" applyProtection="1">
      <alignment horizontal="center" vertical="center"/>
    </xf>
    <xf numFmtId="0" fontId="15" fillId="3" borderId="14" xfId="0" applyFont="1" applyFill="1" applyBorder="1" applyAlignment="1" applyProtection="1">
      <alignment horizontal="center" vertical="center"/>
    </xf>
    <xf numFmtId="0" fontId="0" fillId="9" borderId="0" xfId="0" applyFont="1" applyFill="1" applyBorder="1" applyAlignment="1" applyProtection="1">
      <alignment vertical="center"/>
    </xf>
    <xf numFmtId="0" fontId="28" fillId="5" borderId="0" xfId="0" applyFont="1" applyFill="1" applyBorder="1" applyAlignment="1" applyProtection="1">
      <alignment horizontal="center" vertical="center"/>
    </xf>
    <xf numFmtId="0" fontId="29" fillId="3" borderId="13" xfId="0" applyFont="1" applyFill="1" applyBorder="1" applyAlignment="1" applyProtection="1">
      <alignment vertical="center"/>
    </xf>
    <xf numFmtId="0" fontId="28" fillId="3" borderId="13" xfId="0" applyFont="1" applyFill="1" applyBorder="1" applyAlignment="1" applyProtection="1">
      <alignment horizontal="center" vertical="center"/>
    </xf>
    <xf numFmtId="0" fontId="28" fillId="3" borderId="14" xfId="0" applyFont="1" applyFill="1" applyBorder="1" applyAlignment="1" applyProtection="1">
      <alignment horizontal="center" vertical="center"/>
    </xf>
    <xf numFmtId="164" fontId="0" fillId="5" borderId="3" xfId="0" applyNumberFormat="1" applyFont="1" applyFill="1" applyBorder="1" applyAlignment="1" applyProtection="1">
      <alignment vertical="center"/>
    </xf>
    <xf numFmtId="0" fontId="15" fillId="5" borderId="0" xfId="0" applyFont="1" applyFill="1" applyBorder="1" applyAlignment="1" applyProtection="1">
      <alignment horizontal="center" vertical="center"/>
    </xf>
    <xf numFmtId="0" fontId="8" fillId="5" borderId="0" xfId="0" applyFont="1" applyFill="1" applyBorder="1" applyAlignment="1" applyProtection="1"/>
    <xf numFmtId="0" fontId="0" fillId="5" borderId="0" xfId="0" applyFont="1" applyFill="1" applyBorder="1" applyAlignment="1" applyProtection="1"/>
    <xf numFmtId="0" fontId="0" fillId="5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/>
    <xf numFmtId="0" fontId="0" fillId="4" borderId="0" xfId="0" applyFont="1" applyFill="1" applyBorder="1" applyAlignment="1" applyProtection="1"/>
    <xf numFmtId="0" fontId="0" fillId="5" borderId="6" xfId="0" applyFont="1" applyFill="1" applyBorder="1" applyAlignment="1" applyProtection="1"/>
    <xf numFmtId="0" fontId="0" fillId="5" borderId="0" xfId="0" applyFont="1" applyFill="1" applyBorder="1" applyAlignment="1" applyProtection="1">
      <alignment horizontal="left"/>
    </xf>
    <xf numFmtId="0" fontId="0" fillId="5" borderId="5" xfId="0" applyFont="1" applyFill="1" applyBorder="1" applyAlignment="1" applyProtection="1"/>
    <xf numFmtId="0" fontId="2" fillId="5" borderId="0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left" vertical="center"/>
    </xf>
    <xf numFmtId="0" fontId="2" fillId="5" borderId="0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 indent="1"/>
    </xf>
    <xf numFmtId="0" fontId="0" fillId="5" borderId="0" xfId="0" applyFont="1" applyFill="1" applyBorder="1" applyAlignment="1" applyProtection="1">
      <alignment horizontal="right" vertical="center" indent="1"/>
    </xf>
    <xf numFmtId="0" fontId="2" fillId="5" borderId="0" xfId="0" applyFont="1" applyFill="1" applyBorder="1" applyAlignment="1" applyProtection="1">
      <alignment horizontal="right" vertical="center" indent="1"/>
    </xf>
    <xf numFmtId="0" fontId="2" fillId="4" borderId="0" xfId="0" applyFont="1" applyFill="1" applyBorder="1" applyAlignment="1" applyProtection="1">
      <alignment vertical="center"/>
    </xf>
    <xf numFmtId="164" fontId="2" fillId="4" borderId="0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Alignment="1" applyProtection="1"/>
    <xf numFmtId="0" fontId="8" fillId="5" borderId="3" xfId="0" applyFont="1" applyFill="1" applyBorder="1" applyAlignment="1" applyProtection="1"/>
    <xf numFmtId="0" fontId="0" fillId="5" borderId="3" xfId="0" applyFont="1" applyFill="1" applyBorder="1" applyAlignment="1" applyProtection="1"/>
    <xf numFmtId="0" fontId="7" fillId="5" borderId="2" xfId="0" applyFont="1" applyFill="1" applyBorder="1" applyAlignment="1" applyProtection="1">
      <alignment horizontal="left" vertical="center" indent="1"/>
    </xf>
    <xf numFmtId="0" fontId="0" fillId="5" borderId="5" xfId="0" applyFont="1" applyFill="1" applyBorder="1" applyAlignment="1" applyProtection="1">
      <alignment horizontal="left" vertical="center" indent="1"/>
    </xf>
    <xf numFmtId="164" fontId="0" fillId="5" borderId="8" xfId="0" applyNumberFormat="1" applyFont="1" applyFill="1" applyBorder="1" applyAlignment="1" applyProtection="1">
      <alignment vertical="center"/>
    </xf>
    <xf numFmtId="0" fontId="20" fillId="0" borderId="3" xfId="0" applyFont="1" applyFill="1" applyBorder="1" applyAlignment="1" applyProtection="1">
      <alignment vertical="center"/>
    </xf>
    <xf numFmtId="0" fontId="0" fillId="0" borderId="3" xfId="0" applyFont="1" applyFill="1" applyBorder="1" applyAlignment="1" applyProtection="1">
      <alignment vertical="center"/>
    </xf>
    <xf numFmtId="0" fontId="19" fillId="0" borderId="3" xfId="0" applyFont="1" applyFill="1" applyBorder="1" applyAlignment="1" applyProtection="1"/>
    <xf numFmtId="0" fontId="0" fillId="5" borderId="2" xfId="0" applyFont="1" applyFill="1" applyBorder="1" applyAlignment="1" applyProtection="1">
      <alignment horizontal="left" vertical="center" indent="1"/>
    </xf>
    <xf numFmtId="0" fontId="2" fillId="4" borderId="0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/>
    <xf numFmtId="0" fontId="2" fillId="4" borderId="0" xfId="0" applyFont="1" applyFill="1" applyBorder="1" applyAlignment="1" applyProtection="1"/>
    <xf numFmtId="0" fontId="15" fillId="4" borderId="0" xfId="0" applyFont="1" applyFill="1" applyBorder="1" applyAlignment="1" applyProtection="1">
      <alignment vertical="center"/>
    </xf>
    <xf numFmtId="164" fontId="0" fillId="3" borderId="1" xfId="0" applyNumberFormat="1" applyFont="1" applyFill="1" applyBorder="1" applyAlignment="1" applyProtection="1">
      <alignment horizontal="center" vertical="center" shrinkToFit="1"/>
    </xf>
    <xf numFmtId="1" fontId="0" fillId="3" borderId="1" xfId="0" applyNumberFormat="1" applyFont="1" applyFill="1" applyBorder="1" applyAlignment="1" applyProtection="1">
      <alignment horizontal="center" vertical="center" shrinkToFit="1"/>
    </xf>
    <xf numFmtId="0" fontId="0" fillId="3" borderId="1" xfId="0" applyFont="1" applyFill="1" applyBorder="1" applyAlignment="1" applyProtection="1">
      <alignment horizontal="center" vertical="center" shrinkToFit="1"/>
    </xf>
    <xf numFmtId="0" fontId="0" fillId="5" borderId="0" xfId="0" applyFont="1" applyFill="1" applyBorder="1" applyAlignment="1" applyProtection="1">
      <alignment vertical="center" shrinkToFit="1"/>
    </xf>
    <xf numFmtId="164" fontId="10" fillId="8" borderId="1" xfId="0" applyNumberFormat="1" applyFont="1" applyFill="1" applyBorder="1" applyAlignment="1" applyProtection="1">
      <alignment horizontal="center" vertical="center" shrinkToFit="1"/>
    </xf>
    <xf numFmtId="2" fontId="12" fillId="7" borderId="1" xfId="0" applyNumberFormat="1" applyFont="1" applyFill="1" applyBorder="1" applyAlignment="1" applyProtection="1">
      <alignment horizontal="center" vertical="center" shrinkToFit="1"/>
      <protection locked="0"/>
    </xf>
    <xf numFmtId="164" fontId="12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12" fillId="7" borderId="1" xfId="0" applyFont="1" applyFill="1" applyBorder="1" applyAlignment="1" applyProtection="1">
      <alignment horizontal="center" vertical="center" shrinkToFit="1"/>
      <protection locked="0"/>
    </xf>
    <xf numFmtId="165" fontId="2" fillId="4" borderId="0" xfId="0" applyNumberFormat="1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 applyProtection="1">
      <alignment horizontal="left" vertical="center"/>
    </xf>
    <xf numFmtId="2" fontId="2" fillId="4" borderId="0" xfId="0" applyNumberFormat="1" applyFont="1" applyFill="1" applyBorder="1" applyAlignment="1" applyProtection="1">
      <alignment horizontal="center" vertical="center"/>
    </xf>
    <xf numFmtId="2" fontId="2" fillId="4" borderId="0" xfId="0" applyNumberFormat="1" applyFont="1" applyFill="1" applyBorder="1" applyAlignment="1" applyProtection="1">
      <alignment vertical="center"/>
    </xf>
    <xf numFmtId="164" fontId="0" fillId="5" borderId="0" xfId="0" applyNumberFormat="1" applyFont="1" applyFill="1" applyBorder="1" applyAlignment="1" applyProtection="1">
      <alignment horizontal="center" vertical="center" shrinkToFit="1"/>
    </xf>
    <xf numFmtId="0" fontId="0" fillId="5" borderId="0" xfId="0" applyFont="1" applyFill="1" applyBorder="1" applyAlignment="1" applyProtection="1">
      <alignment horizontal="center" vertical="center" shrinkToFit="1"/>
    </xf>
    <xf numFmtId="1" fontId="0" fillId="5" borderId="0" xfId="0" applyNumberFormat="1" applyFont="1" applyFill="1" applyBorder="1" applyAlignment="1" applyProtection="1">
      <alignment horizontal="center" vertical="center" shrinkToFit="1"/>
    </xf>
    <xf numFmtId="2" fontId="0" fillId="6" borderId="0" xfId="0" applyNumberFormat="1" applyFont="1" applyFill="1" applyBorder="1" applyAlignment="1" applyProtection="1">
      <alignment horizontal="right" vertical="center" shrinkToFit="1"/>
    </xf>
    <xf numFmtId="0" fontId="0" fillId="6" borderId="0" xfId="0" applyFont="1" applyFill="1" applyBorder="1" applyAlignment="1" applyProtection="1">
      <alignment vertical="center" shrinkToFit="1"/>
    </xf>
    <xf numFmtId="0" fontId="32" fillId="4" borderId="0" xfId="0" applyFont="1" applyFill="1" applyBorder="1" applyAlignment="1" applyProtection="1">
      <alignment vertical="center"/>
    </xf>
    <xf numFmtId="0" fontId="33" fillId="4" borderId="0" xfId="0" applyFont="1" applyFill="1" applyBorder="1" applyAlignment="1" applyProtection="1">
      <alignment vertical="center"/>
    </xf>
    <xf numFmtId="0" fontId="34" fillId="4" borderId="0" xfId="0" applyFont="1" applyFill="1" applyBorder="1" applyAlignment="1" applyProtection="1">
      <alignment vertical="center"/>
    </xf>
    <xf numFmtId="0" fontId="34" fillId="5" borderId="0" xfId="0" applyFont="1" applyFill="1" applyBorder="1" applyAlignment="1" applyProtection="1">
      <alignment vertical="center"/>
    </xf>
    <xf numFmtId="0" fontId="31" fillId="5" borderId="0" xfId="0" applyFont="1" applyFill="1" applyAlignment="1" applyProtection="1">
      <alignment vertical="center"/>
    </xf>
    <xf numFmtId="0" fontId="34" fillId="5" borderId="0" xfId="0" applyFont="1" applyFill="1" applyBorder="1" applyAlignment="1" applyProtection="1">
      <alignment horizontal="center" vertical="center"/>
    </xf>
    <xf numFmtId="0" fontId="32" fillId="4" borderId="0" xfId="0" applyFont="1" applyFill="1" applyBorder="1" applyAlignment="1" applyProtection="1">
      <alignment horizontal="center" vertical="center"/>
    </xf>
    <xf numFmtId="0" fontId="31" fillId="5" borderId="0" xfId="0" applyFont="1" applyFill="1" applyAlignment="1" applyProtection="1">
      <alignment horizontal="center" vertical="center"/>
    </xf>
    <xf numFmtId="165" fontId="32" fillId="4" borderId="0" xfId="0" applyNumberFormat="1" applyFont="1" applyFill="1" applyBorder="1" applyAlignment="1" applyProtection="1">
      <alignment horizontal="center" vertical="center"/>
    </xf>
    <xf numFmtId="0" fontId="35" fillId="4" borderId="0" xfId="0" applyFont="1" applyFill="1" applyAlignment="1" applyProtection="1">
      <alignment vertical="center"/>
    </xf>
    <xf numFmtId="1" fontId="10" fillId="8" borderId="1" xfId="0" applyNumberFormat="1" applyFont="1" applyFill="1" applyBorder="1" applyAlignment="1" applyProtection="1">
      <alignment horizontal="center" vertical="center" shrinkToFit="1"/>
    </xf>
    <xf numFmtId="1" fontId="2" fillId="3" borderId="1" xfId="0" applyNumberFormat="1" applyFont="1" applyFill="1" applyBorder="1" applyAlignment="1" applyProtection="1">
      <alignment horizontal="center" vertical="center" shrinkToFit="1"/>
    </xf>
    <xf numFmtId="164" fontId="2" fillId="3" borderId="1" xfId="0" applyNumberFormat="1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2" fontId="2" fillId="4" borderId="0" xfId="0" applyNumberFormat="1" applyFont="1" applyFill="1" applyBorder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center" vertical="center"/>
    </xf>
    <xf numFmtId="1" fontId="0" fillId="5" borderId="0" xfId="0" applyNumberFormat="1" applyFont="1" applyFill="1" applyBorder="1" applyAlignment="1" applyProtection="1">
      <alignment horizontal="left" vertical="center" shrinkToFit="1"/>
    </xf>
    <xf numFmtId="0" fontId="31" fillId="5" borderId="0" xfId="0" applyFont="1" applyFill="1" applyAlignment="1" applyProtection="1">
      <alignment horizontal="center" vertical="center"/>
    </xf>
    <xf numFmtId="0" fontId="7" fillId="5" borderId="0" xfId="0" applyFont="1" applyFill="1" applyBorder="1" applyAlignment="1" applyProtection="1">
      <alignment horizontal="center" vertical="center" wrapText="1"/>
    </xf>
    <xf numFmtId="0" fontId="7" fillId="5" borderId="6" xfId="0" applyFont="1" applyFill="1" applyBorder="1" applyAlignment="1" applyProtection="1">
      <alignment horizontal="center" vertical="center" wrapText="1"/>
    </xf>
    <xf numFmtId="0" fontId="0" fillId="5" borderId="0" xfId="0" applyFont="1" applyFill="1" applyBorder="1" applyAlignment="1" applyProtection="1">
      <alignment horizontal="center"/>
    </xf>
    <xf numFmtId="0" fontId="30" fillId="5" borderId="0" xfId="0" applyFont="1" applyFill="1" applyBorder="1" applyAlignment="1" applyProtection="1">
      <alignment horizontal="right"/>
    </xf>
    <xf numFmtId="0" fontId="8" fillId="5" borderId="0" xfId="0" applyFont="1" applyFill="1" applyBorder="1" applyAlignment="1" applyProtection="1">
      <alignment horizontal="center" vertical="center"/>
    </xf>
    <xf numFmtId="0" fontId="7" fillId="5" borderId="5" xfId="0" applyFont="1" applyFill="1" applyBorder="1" applyAlignment="1" applyProtection="1">
      <alignment horizontal="center" vertical="center" wrapText="1"/>
    </xf>
    <xf numFmtId="0" fontId="14" fillId="5" borderId="0" xfId="0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</xf>
    <xf numFmtId="0" fontId="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center" vertical="center" shrinkToFit="1"/>
    </xf>
    <xf numFmtId="0" fontId="8" fillId="5" borderId="0" xfId="0" applyFont="1" applyFill="1" applyBorder="1" applyAlignment="1" applyProtection="1">
      <alignment horizontal="left" vertical="center" shrinkToFit="1"/>
    </xf>
    <xf numFmtId="0" fontId="0" fillId="5" borderId="0" xfId="0" applyFont="1" applyFill="1" applyBorder="1" applyAlignment="1" applyProtection="1">
      <alignment horizontal="center" vertical="center" shrinkToFit="1"/>
    </xf>
    <xf numFmtId="0" fontId="0" fillId="5" borderId="0" xfId="0" applyFont="1" applyFill="1" applyBorder="1" applyAlignment="1" applyProtection="1">
      <alignment horizontal="center" vertical="center" textRotation="90" wrapText="1"/>
    </xf>
    <xf numFmtId="0" fontId="15" fillId="0" borderId="0" xfId="0" applyFont="1" applyFill="1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splanade double'!Zone_d_impression"/><Relationship Id="rId3" Type="http://schemas.openxmlformats.org/officeDocument/2006/relationships/hyperlink" Target="#'Lafitt 90 colonne'!A1"/><Relationship Id="rId7" Type="http://schemas.openxmlformats.org/officeDocument/2006/relationships/hyperlink" Target="#'Esplanade Colonne'!A1"/><Relationship Id="rId2" Type="http://schemas.openxmlformats.org/officeDocument/2006/relationships/hyperlink" Target="#'Lafitt 90 double'!A1"/><Relationship Id="rId1" Type="http://schemas.openxmlformats.org/officeDocument/2006/relationships/hyperlink" Target="#'Lafitt 90 simple'!A1"/><Relationship Id="rId6" Type="http://schemas.openxmlformats.org/officeDocument/2006/relationships/hyperlink" Target="#'Lafitt 180 colonne'!A1"/><Relationship Id="rId11" Type="http://schemas.openxmlformats.org/officeDocument/2006/relationships/hyperlink" Target="#'Lafitt 90  &amp; 180 simple'!Zone_d_impression"/><Relationship Id="rId5" Type="http://schemas.openxmlformats.org/officeDocument/2006/relationships/hyperlink" Target="#'Lafitt 180 double'!A1"/><Relationship Id="rId10" Type="http://schemas.openxmlformats.org/officeDocument/2006/relationships/hyperlink" Target="#'Lafitt 90 &amp;180 double'!Zone_d_impression"/><Relationship Id="rId4" Type="http://schemas.openxmlformats.org/officeDocument/2006/relationships/hyperlink" Target="#'Lafitt 180 simple'!A1"/><Relationship Id="rId9" Type="http://schemas.openxmlformats.org/officeDocument/2006/relationships/hyperlink" Target="#'Esplanade simple'!Zone_d_impression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INTR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INTR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INTRO!A1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INTR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INTRO!A1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INTRO!A1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.png"/><Relationship Id="rId1" Type="http://schemas.openxmlformats.org/officeDocument/2006/relationships/hyperlink" Target="#INTRO!A1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.png"/><Relationship Id="rId1" Type="http://schemas.openxmlformats.org/officeDocument/2006/relationships/hyperlink" Target="#INTRO!A1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.png"/><Relationship Id="rId1" Type="http://schemas.openxmlformats.org/officeDocument/2006/relationships/hyperlink" Target="#INTRO!A1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.png"/><Relationship Id="rId1" Type="http://schemas.openxmlformats.org/officeDocument/2006/relationships/hyperlink" Target="#INTRO!A1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INTRO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</xdr:colOff>
      <xdr:row>1</xdr:row>
      <xdr:rowOff>83820</xdr:rowOff>
    </xdr:from>
    <xdr:to>
      <xdr:col>2</xdr:col>
      <xdr:colOff>175260</xdr:colOff>
      <xdr:row>1</xdr:row>
      <xdr:rowOff>198120</xdr:rowOff>
    </xdr:to>
    <xdr:sp macro="" textlink="">
      <xdr:nvSpPr>
        <xdr:cNvPr id="2" name="Organigramme : Connecteu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80260" y="3124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</xdr:col>
      <xdr:colOff>38100</xdr:colOff>
      <xdr:row>2</xdr:row>
      <xdr:rowOff>60960</xdr:rowOff>
    </xdr:from>
    <xdr:to>
      <xdr:col>2</xdr:col>
      <xdr:colOff>167640</xdr:colOff>
      <xdr:row>2</xdr:row>
      <xdr:rowOff>175260</xdr:rowOff>
    </xdr:to>
    <xdr:sp macro="" textlink="">
      <xdr:nvSpPr>
        <xdr:cNvPr id="3" name="Organigramme : Connecteu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072640" y="51816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</xdr:col>
      <xdr:colOff>38100</xdr:colOff>
      <xdr:row>3</xdr:row>
      <xdr:rowOff>83820</xdr:rowOff>
    </xdr:from>
    <xdr:to>
      <xdr:col>2</xdr:col>
      <xdr:colOff>167640</xdr:colOff>
      <xdr:row>3</xdr:row>
      <xdr:rowOff>198120</xdr:rowOff>
    </xdr:to>
    <xdr:sp macro="" textlink="">
      <xdr:nvSpPr>
        <xdr:cNvPr id="4" name="Organigramme : Connecteur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07264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4</xdr:col>
      <xdr:colOff>38100</xdr:colOff>
      <xdr:row>1</xdr:row>
      <xdr:rowOff>83820</xdr:rowOff>
    </xdr:from>
    <xdr:to>
      <xdr:col>4</xdr:col>
      <xdr:colOff>167640</xdr:colOff>
      <xdr:row>1</xdr:row>
      <xdr:rowOff>198120</xdr:rowOff>
    </xdr:to>
    <xdr:sp macro="" textlink="">
      <xdr:nvSpPr>
        <xdr:cNvPr id="5" name="Organigramme : Connecteu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7264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4</xdr:col>
      <xdr:colOff>38100</xdr:colOff>
      <xdr:row>2</xdr:row>
      <xdr:rowOff>83820</xdr:rowOff>
    </xdr:from>
    <xdr:to>
      <xdr:col>4</xdr:col>
      <xdr:colOff>167640</xdr:colOff>
      <xdr:row>2</xdr:row>
      <xdr:rowOff>198120</xdr:rowOff>
    </xdr:to>
    <xdr:sp macro="" textlink="">
      <xdr:nvSpPr>
        <xdr:cNvPr id="6" name="Organigramme : Connecteur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07264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4</xdr:col>
      <xdr:colOff>38100</xdr:colOff>
      <xdr:row>3</xdr:row>
      <xdr:rowOff>83820</xdr:rowOff>
    </xdr:from>
    <xdr:to>
      <xdr:col>4</xdr:col>
      <xdr:colOff>167640</xdr:colOff>
      <xdr:row>3</xdr:row>
      <xdr:rowOff>198120</xdr:rowOff>
    </xdr:to>
    <xdr:sp macro="" textlink="">
      <xdr:nvSpPr>
        <xdr:cNvPr id="7" name="Organigramme : Connecteur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7264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8</xdr:col>
      <xdr:colOff>38100</xdr:colOff>
      <xdr:row>3</xdr:row>
      <xdr:rowOff>83820</xdr:rowOff>
    </xdr:from>
    <xdr:to>
      <xdr:col>8</xdr:col>
      <xdr:colOff>167640</xdr:colOff>
      <xdr:row>3</xdr:row>
      <xdr:rowOff>198120</xdr:rowOff>
    </xdr:to>
    <xdr:sp macro="" textlink="">
      <xdr:nvSpPr>
        <xdr:cNvPr id="8" name="Organigramme : Connecteur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14528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8</xdr:col>
      <xdr:colOff>38100</xdr:colOff>
      <xdr:row>2</xdr:row>
      <xdr:rowOff>83820</xdr:rowOff>
    </xdr:from>
    <xdr:to>
      <xdr:col>8</xdr:col>
      <xdr:colOff>167640</xdr:colOff>
      <xdr:row>2</xdr:row>
      <xdr:rowOff>198120</xdr:rowOff>
    </xdr:to>
    <xdr:sp macro="" textlink="">
      <xdr:nvSpPr>
        <xdr:cNvPr id="9" name="Organigramme : Connecteur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14528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8</xdr:col>
      <xdr:colOff>38100</xdr:colOff>
      <xdr:row>1</xdr:row>
      <xdr:rowOff>83820</xdr:rowOff>
    </xdr:from>
    <xdr:to>
      <xdr:col>8</xdr:col>
      <xdr:colOff>167640</xdr:colOff>
      <xdr:row>1</xdr:row>
      <xdr:rowOff>198120</xdr:rowOff>
    </xdr:to>
    <xdr:sp macro="" textlink="">
      <xdr:nvSpPr>
        <xdr:cNvPr id="10" name="Organigramme : Connecteur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145280" y="769620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6</xdr:col>
      <xdr:colOff>38100</xdr:colOff>
      <xdr:row>2</xdr:row>
      <xdr:rowOff>83820</xdr:rowOff>
    </xdr:from>
    <xdr:to>
      <xdr:col>6</xdr:col>
      <xdr:colOff>167640</xdr:colOff>
      <xdr:row>2</xdr:row>
      <xdr:rowOff>198120</xdr:rowOff>
    </xdr:to>
    <xdr:sp macro="" textlink="">
      <xdr:nvSpPr>
        <xdr:cNvPr id="15" name="Organigramme : Connecteur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9950245" y="538562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6</xdr:col>
      <xdr:colOff>38100</xdr:colOff>
      <xdr:row>1</xdr:row>
      <xdr:rowOff>83820</xdr:rowOff>
    </xdr:from>
    <xdr:to>
      <xdr:col>6</xdr:col>
      <xdr:colOff>167640</xdr:colOff>
      <xdr:row>1</xdr:row>
      <xdr:rowOff>198120</xdr:rowOff>
    </xdr:to>
    <xdr:sp macro="" textlink="">
      <xdr:nvSpPr>
        <xdr:cNvPr id="16" name="Organigramme : Connecteur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9950245" y="311191"/>
          <a:ext cx="129540" cy="114300"/>
        </a:xfrm>
        <a:prstGeom prst="flowChartConnector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127977</xdr:colOff>
      <xdr:row>0</xdr:row>
      <xdr:rowOff>31750</xdr:rowOff>
    </xdr:from>
    <xdr:to>
      <xdr:col>12</xdr:col>
      <xdr:colOff>833279</xdr:colOff>
      <xdr:row>2</xdr:row>
      <xdr:rowOff>268885</xdr:rowOff>
    </xdr:to>
    <xdr:pic>
      <xdr:nvPicPr>
        <xdr:cNvPr id="26" name="Image 25" descr="http://groupericher.com/media/uploads/landscape/produit/couronnement-biseaute-hemmingford_2.jp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839" y="31750"/>
          <a:ext cx="1942087" cy="89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95250</xdr:colOff>
      <xdr:row>6</xdr:row>
      <xdr:rowOff>120650</xdr:rowOff>
    </xdr:from>
    <xdr:to>
      <xdr:col>12</xdr:col>
      <xdr:colOff>458470</xdr:colOff>
      <xdr:row>15</xdr:row>
      <xdr:rowOff>118110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051050"/>
          <a:ext cx="1595120" cy="166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102701</xdr:colOff>
      <xdr:row>0</xdr:row>
      <xdr:rowOff>0</xdr:rowOff>
    </xdr:from>
    <xdr:to>
      <xdr:col>12</xdr:col>
      <xdr:colOff>840607</xdr:colOff>
      <xdr:row>2</xdr:row>
      <xdr:rowOff>193431</xdr:rowOff>
    </xdr:to>
    <xdr:pic>
      <xdr:nvPicPr>
        <xdr:cNvPr id="3" name="Image 2" descr="http://groupericher.com/media/uploads/landscape/produit/couronnement-biseaute-hemmingford_2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1801" y="0"/>
          <a:ext cx="1849156" cy="853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7</xdr:row>
      <xdr:rowOff>25400</xdr:rowOff>
    </xdr:from>
    <xdr:to>
      <xdr:col>12</xdr:col>
      <xdr:colOff>610870</xdr:colOff>
      <xdr:row>15</xdr:row>
      <xdr:rowOff>207010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39950"/>
          <a:ext cx="1595120" cy="166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35170</xdr:colOff>
      <xdr:row>0</xdr:row>
      <xdr:rowOff>1465</xdr:rowOff>
    </xdr:from>
    <xdr:to>
      <xdr:col>13</xdr:col>
      <xdr:colOff>8756</xdr:colOff>
      <xdr:row>2</xdr:row>
      <xdr:rowOff>238600</xdr:rowOff>
    </xdr:to>
    <xdr:pic>
      <xdr:nvPicPr>
        <xdr:cNvPr id="27" name="Image 26" descr="http://groupericher.com/media/uploads/landscape/produit/couronnement-biseaute-hemmingford_2.jp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670" y="1465"/>
          <a:ext cx="1954786" cy="897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59871</xdr:colOff>
      <xdr:row>5</xdr:row>
      <xdr:rowOff>81642</xdr:rowOff>
    </xdr:from>
    <xdr:to>
      <xdr:col>12</xdr:col>
      <xdr:colOff>696685</xdr:colOff>
      <xdr:row>15</xdr:row>
      <xdr:rowOff>46632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7028" y="1823356"/>
          <a:ext cx="1747157" cy="182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76200</xdr:rowOff>
    </xdr:from>
    <xdr:ext cx="525780" cy="312420"/>
    <xdr:sp macro="" textlink="">
      <xdr:nvSpPr>
        <xdr:cNvPr id="4" name="Ellips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67640" y="7620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14</xdr:col>
      <xdr:colOff>376526</xdr:colOff>
      <xdr:row>0</xdr:row>
      <xdr:rowOff>0</xdr:rowOff>
    </xdr:from>
    <xdr:to>
      <xdr:col>17</xdr:col>
      <xdr:colOff>3220</xdr:colOff>
      <xdr:row>4</xdr:row>
      <xdr:rowOff>152362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8656" l="495" r="100000">
                      <a14:foregroundMark x1="15842" y1="20154" x2="23515" y2="94434"/>
                      <a14:foregroundMark x1="35149" y1="23033" x2="34653" y2="95969"/>
                      <a14:foregroundMark x1="50990" y1="23417" x2="62376" y2="94434"/>
                      <a14:foregroundMark x1="87376" y1="23033" x2="87376" y2="97313"/>
                      <a14:foregroundMark x1="73762" y1="22649" x2="76238" y2="99040"/>
                      <a14:foregroundMark x1="14109" y1="31862" x2="13861" y2="74280"/>
                      <a14:foregroundMark x1="93317" y1="71017" x2="95792" y2="95969"/>
                      <a14:foregroundMark x1="16832" y1="79846" x2="22525" y2="99040"/>
                      <a14:foregroundMark x1="50743" y1="87908" x2="50743" y2="37044"/>
                      <a14:foregroundMark x1="13861" y1="77927" x2="13861" y2="77927"/>
                      <a14:foregroundMark x1="11386" y1="73896" x2="11386" y2="73896"/>
                      <a14:foregroundMark x1="12129" y1="67179" x2="11386" y2="86372"/>
                      <a14:foregroundMark x1="12129" y1="51056" x2="12129" y2="51056"/>
                      <a14:foregroundMark x1="12129" y1="47601" x2="13366" y2="47793"/>
                      <a14:backgroundMark x1="35891" y1="3263" x2="35891" y2="3263"/>
                      <a14:backgroundMark x1="49752" y1="2687" x2="49752" y2="2687"/>
                      <a14:backgroundMark x1="25990" y1="3263" x2="96287" y2="9021"/>
                      <a14:backgroundMark x1="97030" y1="21689" x2="97030" y2="21689"/>
                      <a14:backgroundMark x1="3713" y1="5182" x2="23515" y2="5182"/>
                      <a14:backgroundMark x1="4950" y1="13244" x2="4208" y2="98273"/>
                      <a14:backgroundMark x1="7921" y1="20154" x2="7921" y2="20154"/>
                    </a14:backgroundRemoval>
                  </a14:imgEffect>
                </a14:imgLayer>
              </a14:imgProps>
            </a:ext>
          </a:extLst>
        </a:blip>
        <a:srcRect t="6992"/>
        <a:stretch/>
      </xdr:blipFill>
      <xdr:spPr>
        <a:xfrm>
          <a:off x="5545426" y="0"/>
          <a:ext cx="998294" cy="1200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167640</xdr:colOff>
      <xdr:row>0</xdr:row>
      <xdr:rowOff>76200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67640" y="7620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15</xdr:col>
      <xdr:colOff>39283</xdr:colOff>
      <xdr:row>0</xdr:row>
      <xdr:rowOff>33626</xdr:rowOff>
    </xdr:from>
    <xdr:to>
      <xdr:col>16</xdr:col>
      <xdr:colOff>527598</xdr:colOff>
      <xdr:row>4</xdr:row>
      <xdr:rowOff>142259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8656" l="495" r="100000">
                      <a14:foregroundMark x1="15842" y1="20154" x2="23515" y2="94434"/>
                      <a14:foregroundMark x1="35149" y1="23033" x2="34653" y2="95969"/>
                      <a14:foregroundMark x1="50990" y1="23417" x2="62376" y2="94434"/>
                      <a14:foregroundMark x1="87376" y1="23033" x2="87376" y2="97313"/>
                      <a14:foregroundMark x1="73762" y1="22649" x2="76238" y2="99040"/>
                      <a14:foregroundMark x1="14109" y1="31862" x2="13861" y2="74280"/>
                      <a14:foregroundMark x1="93317" y1="71017" x2="95792" y2="95969"/>
                      <a14:foregroundMark x1="16832" y1="79846" x2="22525" y2="99040"/>
                      <a14:foregroundMark x1="50743" y1="87908" x2="50743" y2="37044"/>
                      <a14:foregroundMark x1="13861" y1="77927" x2="13861" y2="77927"/>
                      <a14:foregroundMark x1="11386" y1="73896" x2="11386" y2="73896"/>
                      <a14:foregroundMark x1="12129" y1="67179" x2="11386" y2="86372"/>
                      <a14:foregroundMark x1="12129" y1="51056" x2="12129" y2="51056"/>
                      <a14:foregroundMark x1="12129" y1="47601" x2="13366" y2="47793"/>
                      <a14:backgroundMark x1="35891" y1="3263" x2="35891" y2="3263"/>
                      <a14:backgroundMark x1="49752" y1="2687" x2="49752" y2="2687"/>
                      <a14:backgroundMark x1="25990" y1="3263" x2="96287" y2="9021"/>
                      <a14:backgroundMark x1="97030" y1="21689" x2="97030" y2="21689"/>
                      <a14:backgroundMark x1="3713" y1="5182" x2="23515" y2="5182"/>
                      <a14:backgroundMark x1="4950" y1="13244" x2="4208" y2="98273"/>
                      <a14:backgroundMark x1="7921" y1="20154" x2="7921" y2="20154"/>
                    </a14:backgroundRemoval>
                  </a14:imgEffect>
                </a14:imgLayer>
              </a14:imgProps>
            </a:ext>
          </a:extLst>
        </a:blip>
        <a:srcRect t="6992"/>
        <a:stretch/>
      </xdr:blipFill>
      <xdr:spPr>
        <a:xfrm>
          <a:off x="6156065" y="33626"/>
          <a:ext cx="1000933" cy="12031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167640</xdr:colOff>
      <xdr:row>0</xdr:row>
      <xdr:rowOff>76200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7640" y="7620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RETURN</a:t>
          </a:r>
        </a:p>
      </xdr:txBody>
    </xdr:sp>
    <xdr:clientData/>
  </xdr:oneCellAnchor>
  <xdr:twoCellAnchor editAs="oneCell">
    <xdr:from>
      <xdr:col>12</xdr:col>
      <xdr:colOff>451456</xdr:colOff>
      <xdr:row>0</xdr:row>
      <xdr:rowOff>0</xdr:rowOff>
    </xdr:from>
    <xdr:to>
      <xdr:col>14</xdr:col>
      <xdr:colOff>512247</xdr:colOff>
      <xdr:row>4</xdr:row>
      <xdr:rowOff>144424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8656" l="495" r="100000">
                      <a14:foregroundMark x1="15842" y1="20154" x2="23515" y2="94434"/>
                      <a14:foregroundMark x1="35149" y1="23033" x2="34653" y2="95969"/>
                      <a14:foregroundMark x1="50990" y1="23417" x2="62376" y2="94434"/>
                      <a14:foregroundMark x1="87376" y1="23033" x2="87376" y2="97313"/>
                      <a14:foregroundMark x1="73762" y1="22649" x2="76238" y2="99040"/>
                      <a14:foregroundMark x1="14109" y1="31862" x2="13861" y2="74280"/>
                      <a14:foregroundMark x1="93317" y1="71017" x2="95792" y2="95969"/>
                      <a14:foregroundMark x1="16832" y1="79846" x2="22525" y2="99040"/>
                      <a14:foregroundMark x1="50743" y1="87908" x2="50743" y2="37044"/>
                      <a14:foregroundMark x1="13861" y1="77927" x2="13861" y2="77927"/>
                      <a14:foregroundMark x1="11386" y1="73896" x2="11386" y2="73896"/>
                      <a14:foregroundMark x1="12129" y1="67179" x2="11386" y2="86372"/>
                      <a14:foregroundMark x1="12129" y1="51056" x2="12129" y2="51056"/>
                      <a14:foregroundMark x1="12129" y1="47601" x2="13366" y2="47793"/>
                      <a14:backgroundMark x1="35891" y1="3263" x2="35891" y2="3263"/>
                      <a14:backgroundMark x1="49752" y1="2687" x2="49752" y2="2687"/>
                      <a14:backgroundMark x1="25990" y1="3263" x2="96287" y2="9021"/>
                      <a14:backgroundMark x1="97030" y1="21689" x2="97030" y2="21689"/>
                      <a14:backgroundMark x1="3713" y1="5182" x2="23515" y2="5182"/>
                      <a14:backgroundMark x1="4950" y1="13244" x2="4208" y2="98273"/>
                      <a14:backgroundMark x1="7921" y1="20154" x2="7921" y2="20154"/>
                    </a14:backgroundRemoval>
                  </a14:imgEffect>
                </a14:imgLayer>
              </a14:imgProps>
            </a:ext>
          </a:extLst>
        </a:blip>
        <a:srcRect t="6992"/>
        <a:stretch/>
      </xdr:blipFill>
      <xdr:spPr>
        <a:xfrm>
          <a:off x="5874356" y="0"/>
          <a:ext cx="991066" cy="1198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421640</xdr:colOff>
      <xdr:row>0</xdr:row>
      <xdr:rowOff>20637</xdr:rowOff>
    </xdr:from>
    <xdr:to>
      <xdr:col>13</xdr:col>
      <xdr:colOff>220</xdr:colOff>
      <xdr:row>3</xdr:row>
      <xdr:rowOff>84924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18889" y1="53431" x2="18889" y2="53431"/>
                      <a14:foregroundMark x1="9722" y1="31373" x2="9722" y2="31373"/>
                      <a14:foregroundMark x1="9722" y1="10294" x2="9722" y2="10294"/>
                      <a14:foregroundMark x1="32222" y1="84314" x2="11389" y2="40196"/>
                      <a14:foregroundMark x1="3611" y1="46569" x2="8333" y2="2451"/>
                      <a14:foregroundMark x1="20556" y1="17157" x2="73333" y2="10294"/>
                      <a14:foregroundMark x1="9722" y1="4902" x2="97778" y2="3922"/>
                      <a14:foregroundMark x1="5833" y1="3922" x2="34167" y2="35294"/>
                      <a14:foregroundMark x1="73611" y1="14216" x2="98056" y2="13235"/>
                      <a14:foregroundMark x1="17500" y1="33333" x2="34167" y2="68627"/>
                      <a14:foregroundMark x1="33611" y1="89216" x2="15000" y2="63235"/>
                      <a14:foregroundMark x1="2778" y1="47059" x2="10556" y2="55392"/>
                      <a14:foregroundMark x1="3056" y1="33333" x2="5000" y2="13235"/>
                      <a14:backgroundMark x1="3056" y1="51961" x2="3056" y2="51961"/>
                      <a14:backgroundMark x1="6944" y1="61275" x2="6944" y2="61275"/>
                      <a14:backgroundMark x1="55278" y1="97059" x2="55278" y2="97059"/>
                      <a14:backgroundMark x1="74722" y1="91176" x2="74722" y2="91176"/>
                      <a14:backgroundMark x1="85833" y1="87255" x2="85833" y2="87255"/>
                      <a14:backgroundMark x1="40556" y1="97059" x2="97778" y2="7892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28690" y="20637"/>
          <a:ext cx="1722437" cy="1016787"/>
        </a:xfrm>
        <a:prstGeom prst="rect">
          <a:avLst/>
        </a:prstGeom>
      </xdr:spPr>
    </xdr:pic>
    <xdr:clientData/>
  </xdr:twoCellAnchor>
  <xdr:twoCellAnchor editAs="oneCell">
    <xdr:from>
      <xdr:col>9</xdr:col>
      <xdr:colOff>480060</xdr:colOff>
      <xdr:row>4</xdr:row>
      <xdr:rowOff>112206</xdr:rowOff>
    </xdr:from>
    <xdr:to>
      <xdr:col>13</xdr:col>
      <xdr:colOff>162560</xdr:colOff>
      <xdr:row>15</xdr:row>
      <xdr:rowOff>73887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87060" y="1763206"/>
          <a:ext cx="2317750" cy="21143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304800</xdr:colOff>
      <xdr:row>0</xdr:row>
      <xdr:rowOff>0</xdr:rowOff>
    </xdr:from>
    <xdr:to>
      <xdr:col>13</xdr:col>
      <xdr:colOff>1587</xdr:colOff>
      <xdr:row>3</xdr:row>
      <xdr:rowOff>153187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18889" y1="53431" x2="18889" y2="53431"/>
                      <a14:foregroundMark x1="9722" y1="31373" x2="9722" y2="31373"/>
                      <a14:foregroundMark x1="9722" y1="10294" x2="9722" y2="10294"/>
                      <a14:foregroundMark x1="32222" y1="84314" x2="11389" y2="40196"/>
                      <a14:foregroundMark x1="3611" y1="46569" x2="8333" y2="2451"/>
                      <a14:foregroundMark x1="20556" y1="17157" x2="73333" y2="10294"/>
                      <a14:foregroundMark x1="9722" y1="4902" x2="97778" y2="3922"/>
                      <a14:foregroundMark x1="5833" y1="3922" x2="34167" y2="35294"/>
                      <a14:foregroundMark x1="73611" y1="14216" x2="98056" y2="13235"/>
                      <a14:foregroundMark x1="17500" y1="33333" x2="34167" y2="68627"/>
                      <a14:foregroundMark x1="33611" y1="89216" x2="15000" y2="63235"/>
                      <a14:foregroundMark x1="2778" y1="47059" x2="10556" y2="55392"/>
                      <a14:foregroundMark x1="3056" y1="33333" x2="5000" y2="13235"/>
                      <a14:backgroundMark x1="3056" y1="51961" x2="3056" y2="51961"/>
                      <a14:backgroundMark x1="6944" y1="61275" x2="6944" y2="61275"/>
                      <a14:backgroundMark x1="55278" y1="97059" x2="55278" y2="97059"/>
                      <a14:backgroundMark x1="74722" y1="91176" x2="74722" y2="91176"/>
                      <a14:backgroundMark x1="85833" y1="87255" x2="85833" y2="87255"/>
                      <a14:backgroundMark x1="40556" y1="97059" x2="97778" y2="7892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1850" y="0"/>
          <a:ext cx="1722437" cy="1016787"/>
        </a:xfrm>
        <a:prstGeom prst="rect">
          <a:avLst/>
        </a:prstGeom>
      </xdr:spPr>
    </xdr:pic>
    <xdr:clientData/>
  </xdr:twoCellAnchor>
  <xdr:twoCellAnchor editAs="oneCell">
    <xdr:from>
      <xdr:col>9</xdr:col>
      <xdr:colOff>323362</xdr:colOff>
      <xdr:row>7</xdr:row>
      <xdr:rowOff>4396</xdr:rowOff>
    </xdr:from>
    <xdr:to>
      <xdr:col>13</xdr:col>
      <xdr:colOff>127001</xdr:colOff>
      <xdr:row>17</xdr:row>
      <xdr:rowOff>105777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41462" y="1680796"/>
          <a:ext cx="2318239" cy="21143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9</xdr:col>
      <xdr:colOff>372208</xdr:colOff>
      <xdr:row>0</xdr:row>
      <xdr:rowOff>0</xdr:rowOff>
    </xdr:from>
    <xdr:to>
      <xdr:col>12</xdr:col>
      <xdr:colOff>1832</xdr:colOff>
      <xdr:row>2</xdr:row>
      <xdr:rowOff>350037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18889" y1="53431" x2="18889" y2="53431"/>
                      <a14:foregroundMark x1="9722" y1="31373" x2="9722" y2="31373"/>
                      <a14:foregroundMark x1="9722" y1="10294" x2="9722" y2="10294"/>
                      <a14:foregroundMark x1="32222" y1="84314" x2="11389" y2="40196"/>
                      <a14:foregroundMark x1="3611" y1="46569" x2="8333" y2="2451"/>
                      <a14:foregroundMark x1="20556" y1="17157" x2="73333" y2="10294"/>
                      <a14:foregroundMark x1="9722" y1="4902" x2="97778" y2="3922"/>
                      <a14:foregroundMark x1="5833" y1="3922" x2="34167" y2="35294"/>
                      <a14:foregroundMark x1="73611" y1="14216" x2="98056" y2="13235"/>
                      <a14:foregroundMark x1="17500" y1="33333" x2="34167" y2="68627"/>
                      <a14:foregroundMark x1="33611" y1="89216" x2="15000" y2="63235"/>
                      <a14:foregroundMark x1="2778" y1="47059" x2="10556" y2="55392"/>
                      <a14:foregroundMark x1="3056" y1="33333" x2="5000" y2="13235"/>
                      <a14:backgroundMark x1="3056" y1="51961" x2="3056" y2="51961"/>
                      <a14:backgroundMark x1="6944" y1="61275" x2="6944" y2="61275"/>
                      <a14:backgroundMark x1="55278" y1="97059" x2="55278" y2="97059"/>
                      <a14:backgroundMark x1="74722" y1="91176" x2="74722" y2="91176"/>
                      <a14:backgroundMark x1="85833" y1="87255" x2="85833" y2="87255"/>
                      <a14:backgroundMark x1="40556" y1="97059" x2="97778" y2="7892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77608" y="0"/>
          <a:ext cx="1733916" cy="1012879"/>
        </a:xfrm>
        <a:prstGeom prst="rect">
          <a:avLst/>
        </a:prstGeom>
      </xdr:spPr>
    </xdr:pic>
    <xdr:clientData/>
  </xdr:twoCellAnchor>
  <xdr:twoCellAnchor editAs="oneCell">
    <xdr:from>
      <xdr:col>8</xdr:col>
      <xdr:colOff>480967</xdr:colOff>
      <xdr:row>6</xdr:row>
      <xdr:rowOff>170334</xdr:rowOff>
    </xdr:from>
    <xdr:to>
      <xdr:col>12</xdr:col>
      <xdr:colOff>80500</xdr:colOff>
      <xdr:row>16</xdr:row>
      <xdr:rowOff>166078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859" y="2169119"/>
          <a:ext cx="2190333" cy="1992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10</xdr:col>
      <xdr:colOff>406107</xdr:colOff>
      <xdr:row>0</xdr:row>
      <xdr:rowOff>0</xdr:rowOff>
    </xdr:from>
    <xdr:to>
      <xdr:col>12</xdr:col>
      <xdr:colOff>756944</xdr:colOff>
      <xdr:row>3</xdr:row>
      <xdr:rowOff>19837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18889" y1="53431" x2="18889" y2="53431"/>
                      <a14:foregroundMark x1="9722" y1="31373" x2="9722" y2="31373"/>
                      <a14:foregroundMark x1="9722" y1="10294" x2="9722" y2="10294"/>
                      <a14:foregroundMark x1="32222" y1="84314" x2="11389" y2="40196"/>
                      <a14:foregroundMark x1="3611" y1="46569" x2="8333" y2="2451"/>
                      <a14:foregroundMark x1="20556" y1="17157" x2="73333" y2="10294"/>
                      <a14:foregroundMark x1="9722" y1="4902" x2="97778" y2="3922"/>
                      <a14:foregroundMark x1="5833" y1="3922" x2="34167" y2="35294"/>
                      <a14:foregroundMark x1="73611" y1="14216" x2="98056" y2="13235"/>
                      <a14:foregroundMark x1="17500" y1="33333" x2="34167" y2="68627"/>
                      <a14:foregroundMark x1="33611" y1="89216" x2="15000" y2="63235"/>
                      <a14:foregroundMark x1="2778" y1="47059" x2="10556" y2="55392"/>
                      <a14:foregroundMark x1="3056" y1="33333" x2="5000" y2="13235"/>
                      <a14:backgroundMark x1="3056" y1="51961" x2="3056" y2="51961"/>
                      <a14:backgroundMark x1="6944" y1="61275" x2="6944" y2="61275"/>
                      <a14:backgroundMark x1="55278" y1="97059" x2="55278" y2="97059"/>
                      <a14:backgroundMark x1="74722" y1="91176" x2="74722" y2="91176"/>
                      <a14:backgroundMark x1="85833" y1="87255" x2="85833" y2="87255"/>
                      <a14:backgroundMark x1="40556" y1="97059" x2="97778" y2="7892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8676" y="0"/>
          <a:ext cx="1728299" cy="1010437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6</xdr:row>
      <xdr:rowOff>115765</xdr:rowOff>
    </xdr:from>
    <xdr:to>
      <xdr:col>13</xdr:col>
      <xdr:colOff>78154</xdr:colOff>
      <xdr:row>17</xdr:row>
      <xdr:rowOff>140946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556250" y="2046165"/>
          <a:ext cx="2317750" cy="21143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</xdr:colOff>
      <xdr:row>0</xdr:row>
      <xdr:rowOff>15240</xdr:rowOff>
    </xdr:from>
    <xdr:ext cx="525780" cy="312420"/>
    <xdr:sp macro="" textlink="">
      <xdr:nvSpPr>
        <xdr:cNvPr id="2" name="El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5720" y="15240"/>
          <a:ext cx="525780" cy="31242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lIns="0" tIns="72000" rIns="0" bIns="0" rtlCol="0" anchor="t">
          <a:noAutofit/>
        </a:bodyPr>
        <a:lstStyle/>
        <a:p>
          <a:pPr algn="ctr"/>
          <a:r>
            <a:rPr lang="fr-CA" sz="700" b="1">
              <a:solidFill>
                <a:schemeClr val="bg1"/>
              </a:solidFill>
            </a:rPr>
            <a:t>RETOUR</a:t>
          </a:r>
        </a:p>
      </xdr:txBody>
    </xdr:sp>
    <xdr:clientData/>
  </xdr:oneCellAnchor>
  <xdr:twoCellAnchor editAs="oneCell">
    <xdr:from>
      <xdr:col>9</xdr:col>
      <xdr:colOff>308219</xdr:colOff>
      <xdr:row>0</xdr:row>
      <xdr:rowOff>37611</xdr:rowOff>
    </xdr:from>
    <xdr:to>
      <xdr:col>13</xdr:col>
      <xdr:colOff>6313</xdr:colOff>
      <xdr:row>2</xdr:row>
      <xdr:rowOff>274746</xdr:rowOff>
    </xdr:to>
    <xdr:pic>
      <xdr:nvPicPr>
        <xdr:cNvPr id="28" name="Image 27" descr="http://groupericher.com/media/uploads/landscape/produit/couronnement-biseaute-hemmingford_2.jp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696" y="37611"/>
          <a:ext cx="1942086" cy="89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317500</xdr:colOff>
      <xdr:row>6</xdr:row>
      <xdr:rowOff>107950</xdr:rowOff>
    </xdr:from>
    <xdr:to>
      <xdr:col>12</xdr:col>
      <xdr:colOff>261620</xdr:colOff>
      <xdr:row>14</xdr:row>
      <xdr:rowOff>175260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950" y="1752600"/>
          <a:ext cx="1595120" cy="166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D68"/>
  <sheetViews>
    <sheetView showGridLines="0" zoomScaleNormal="100" workbookViewId="0">
      <pane ySplit="5" topLeftCell="A6" activePane="bottomLeft" state="frozen"/>
      <selection activeCell="C2" sqref="C2:K2"/>
      <selection pane="bottomLeft" activeCell="F13" sqref="F13"/>
    </sheetView>
  </sheetViews>
  <sheetFormatPr baseColWidth="10" defaultColWidth="27.28515625" defaultRowHeight="18.75" x14ac:dyDescent="0.25"/>
  <cols>
    <col min="1" max="1" width="6.28515625" style="7" customWidth="1"/>
    <col min="2" max="2" width="29.7109375" style="127" customWidth="1"/>
    <col min="3" max="3" width="4" style="118" customWidth="1"/>
    <col min="4" max="4" width="27.28515625" style="135"/>
    <col min="5" max="5" width="2.7109375" style="118" customWidth="1"/>
    <col min="6" max="6" width="27.28515625" style="118"/>
    <col min="7" max="7" width="3.7109375" style="118" customWidth="1"/>
    <col min="8" max="8" width="32.28515625" style="118" customWidth="1"/>
    <col min="9" max="9" width="3.7109375" style="118" customWidth="1"/>
    <col min="10" max="10" width="27.28515625" style="118"/>
    <col min="11" max="30" width="27.28515625" style="7"/>
    <col min="31" max="16384" width="27.28515625" style="118"/>
  </cols>
  <sheetData>
    <row r="1" spans="1:30" x14ac:dyDescent="0.25">
      <c r="B1" s="116" t="s">
        <v>8</v>
      </c>
      <c r="C1" s="117"/>
      <c r="D1" s="117" t="s">
        <v>25</v>
      </c>
      <c r="E1" s="117"/>
      <c r="F1" s="117" t="s">
        <v>26</v>
      </c>
      <c r="G1" s="117"/>
      <c r="H1" s="117" t="s">
        <v>124</v>
      </c>
      <c r="I1" s="117"/>
      <c r="J1" s="117" t="s">
        <v>27</v>
      </c>
    </row>
    <row r="2" spans="1:30" x14ac:dyDescent="0.25">
      <c r="B2" s="116" t="s">
        <v>0</v>
      </c>
      <c r="C2" s="117"/>
      <c r="D2" s="117" t="s">
        <v>9</v>
      </c>
      <c r="E2" s="117"/>
      <c r="F2" s="117" t="s">
        <v>9</v>
      </c>
      <c r="G2" s="117"/>
      <c r="H2" s="117" t="s">
        <v>9</v>
      </c>
      <c r="I2" s="117"/>
      <c r="J2" s="119" t="s">
        <v>9</v>
      </c>
    </row>
    <row r="3" spans="1:30" x14ac:dyDescent="0.25">
      <c r="B3" s="120" t="s">
        <v>7</v>
      </c>
      <c r="C3" s="117"/>
      <c r="D3" s="117" t="s">
        <v>10</v>
      </c>
      <c r="E3" s="117"/>
      <c r="F3" s="117" t="s">
        <v>10</v>
      </c>
      <c r="G3" s="117"/>
      <c r="H3" s="117" t="s">
        <v>10</v>
      </c>
      <c r="I3" s="117"/>
      <c r="J3" s="119" t="s">
        <v>10</v>
      </c>
    </row>
    <row r="4" spans="1:30" x14ac:dyDescent="0.25">
      <c r="B4" s="116"/>
      <c r="C4" s="117"/>
      <c r="D4" s="117" t="s">
        <v>11</v>
      </c>
      <c r="E4" s="117"/>
      <c r="F4" s="117" t="s">
        <v>11</v>
      </c>
      <c r="G4" s="117"/>
      <c r="H4" s="117"/>
      <c r="I4" s="117"/>
      <c r="J4" s="119" t="s">
        <v>11</v>
      </c>
    </row>
    <row r="5" spans="1:30" x14ac:dyDescent="0.25">
      <c r="B5" s="116"/>
      <c r="C5" s="117"/>
      <c r="D5" s="117"/>
      <c r="E5" s="117"/>
      <c r="F5" s="117"/>
      <c r="G5" s="117"/>
      <c r="H5" s="119"/>
      <c r="I5" s="117"/>
      <c r="J5" s="119"/>
    </row>
    <row r="7" spans="1:30" x14ac:dyDescent="0.25">
      <c r="B7" s="121" t="s">
        <v>5</v>
      </c>
      <c r="C7" s="122">
        <v>1</v>
      </c>
      <c r="D7" s="123" t="s">
        <v>4</v>
      </c>
    </row>
    <row r="8" spans="1:30" x14ac:dyDescent="0.25">
      <c r="B8" s="118"/>
      <c r="C8" s="122">
        <v>2</v>
      </c>
      <c r="D8" s="124" t="s">
        <v>128</v>
      </c>
      <c r="E8" s="125"/>
      <c r="F8" s="125"/>
      <c r="G8" s="125"/>
      <c r="H8" s="125"/>
      <c r="I8" s="125"/>
      <c r="J8" s="125"/>
    </row>
    <row r="9" spans="1:30" x14ac:dyDescent="0.25">
      <c r="B9" s="123"/>
      <c r="C9" s="122"/>
      <c r="D9" s="126" t="s">
        <v>134</v>
      </c>
      <c r="E9" s="125"/>
      <c r="F9" s="125"/>
      <c r="G9" s="125"/>
      <c r="H9" s="125"/>
      <c r="I9" s="125"/>
      <c r="J9" s="125"/>
    </row>
    <row r="10" spans="1:30" ht="17.45" customHeight="1" x14ac:dyDescent="0.25">
      <c r="C10" s="122">
        <v>3</v>
      </c>
      <c r="D10" s="128" t="s">
        <v>166</v>
      </c>
      <c r="E10" s="125"/>
      <c r="F10" s="125"/>
      <c r="G10" s="125"/>
      <c r="H10" s="125"/>
      <c r="I10" s="125"/>
      <c r="J10" s="125"/>
    </row>
    <row r="11" spans="1:30" ht="17.45" customHeight="1" x14ac:dyDescent="0.25">
      <c r="B11" s="123"/>
      <c r="C11" s="122">
        <v>4</v>
      </c>
      <c r="D11" s="128" t="s">
        <v>147</v>
      </c>
      <c r="E11" s="125"/>
      <c r="F11" s="125"/>
      <c r="G11" s="125"/>
      <c r="H11" s="125"/>
      <c r="I11" s="125"/>
      <c r="J11" s="125"/>
    </row>
    <row r="12" spans="1:30" ht="17.45" customHeight="1" x14ac:dyDescent="0.25">
      <c r="B12" s="123"/>
      <c r="C12" s="122"/>
      <c r="D12" s="128" t="s">
        <v>163</v>
      </c>
      <c r="E12" s="125"/>
      <c r="F12" s="125"/>
      <c r="G12" s="125"/>
      <c r="H12" s="125"/>
      <c r="I12" s="125"/>
      <c r="J12" s="125"/>
    </row>
    <row r="13" spans="1:30" ht="17.45" customHeight="1" x14ac:dyDescent="0.25">
      <c r="B13" s="123"/>
      <c r="C13" s="122">
        <v>5</v>
      </c>
      <c r="D13" s="128" t="s">
        <v>135</v>
      </c>
      <c r="E13" s="125"/>
      <c r="F13" s="125"/>
      <c r="G13" s="125"/>
      <c r="H13" s="125"/>
      <c r="I13" s="125"/>
      <c r="J13" s="125"/>
    </row>
    <row r="14" spans="1:30" ht="17.45" customHeight="1" x14ac:dyDescent="0.25">
      <c r="B14" s="123"/>
      <c r="C14" s="122">
        <v>6</v>
      </c>
      <c r="D14" s="128" t="s">
        <v>130</v>
      </c>
      <c r="E14" s="125"/>
      <c r="F14" s="125"/>
      <c r="G14" s="125"/>
      <c r="H14" s="125"/>
      <c r="I14" s="125"/>
      <c r="J14" s="125"/>
    </row>
    <row r="15" spans="1:30" ht="17.45" customHeight="1" x14ac:dyDescent="0.25">
      <c r="B15" s="123"/>
      <c r="C15" s="122">
        <v>7</v>
      </c>
      <c r="D15" s="128" t="s">
        <v>131</v>
      </c>
      <c r="E15" s="125"/>
      <c r="F15" s="125"/>
      <c r="G15" s="125"/>
      <c r="H15" s="125"/>
      <c r="I15" s="125"/>
      <c r="J15" s="125"/>
    </row>
    <row r="16" spans="1:30" s="130" customFormat="1" ht="17.45" customHeight="1" x14ac:dyDescent="0.25">
      <c r="A16" s="7"/>
      <c r="B16" s="123"/>
      <c r="C16" s="122">
        <v>8</v>
      </c>
      <c r="D16" s="124" t="s">
        <v>132</v>
      </c>
      <c r="E16" s="125"/>
      <c r="F16" s="125"/>
      <c r="G16" s="125"/>
      <c r="H16" s="129"/>
      <c r="I16" s="125"/>
      <c r="J16" s="129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2:17" ht="17.45" customHeight="1" x14ac:dyDescent="0.25">
      <c r="B17" s="123"/>
      <c r="C17" s="122"/>
      <c r="D17" s="126" t="s">
        <v>146</v>
      </c>
      <c r="E17" s="125"/>
      <c r="F17" s="125"/>
      <c r="G17" s="125"/>
      <c r="H17" s="125"/>
      <c r="I17" s="125"/>
      <c r="J17" s="125"/>
    </row>
    <row r="18" spans="2:17" ht="17.45" customHeight="1" x14ac:dyDescent="0.25">
      <c r="B18" s="123"/>
      <c r="C18" s="122">
        <v>9</v>
      </c>
      <c r="D18" s="128" t="s">
        <v>133</v>
      </c>
      <c r="E18" s="125"/>
      <c r="F18" s="125"/>
      <c r="G18" s="125"/>
      <c r="H18" s="125"/>
      <c r="I18" s="125"/>
      <c r="J18" s="125"/>
    </row>
    <row r="19" spans="2:17" ht="17.45" customHeight="1" x14ac:dyDescent="0.25">
      <c r="B19" s="123"/>
      <c r="C19" s="122">
        <v>10</v>
      </c>
      <c r="D19" s="128" t="s">
        <v>136</v>
      </c>
      <c r="E19" s="125"/>
      <c r="F19" s="125"/>
      <c r="G19" s="125"/>
      <c r="H19" s="125"/>
      <c r="I19" s="125"/>
      <c r="J19" s="125"/>
      <c r="Q19" s="131"/>
    </row>
    <row r="20" spans="2:17" ht="17.45" customHeight="1" x14ac:dyDescent="0.25">
      <c r="B20" s="123"/>
      <c r="D20" s="132"/>
      <c r="E20" s="125"/>
      <c r="F20" s="125"/>
      <c r="G20" s="125"/>
      <c r="H20" s="125"/>
      <c r="I20" s="125"/>
      <c r="J20" s="125"/>
      <c r="Q20" s="131"/>
    </row>
    <row r="21" spans="2:17" ht="17.45" customHeight="1" x14ac:dyDescent="0.25">
      <c r="B21" s="123"/>
      <c r="C21" s="133"/>
      <c r="D21" s="133"/>
      <c r="E21" s="125"/>
      <c r="F21" s="125"/>
      <c r="G21" s="125"/>
      <c r="H21" s="125"/>
      <c r="I21" s="125"/>
      <c r="J21" s="125"/>
      <c r="Q21" s="131"/>
    </row>
    <row r="22" spans="2:17" ht="17.45" customHeight="1" x14ac:dyDescent="0.25">
      <c r="C22" s="133"/>
      <c r="D22" s="133"/>
      <c r="Q22" s="131"/>
    </row>
    <row r="23" spans="2:17" s="7" customFormat="1" ht="6.6" customHeight="1" x14ac:dyDescent="0.25">
      <c r="B23" s="134"/>
      <c r="Q23" s="131"/>
    </row>
    <row r="24" spans="2:17" s="7" customFormat="1" ht="16.899999999999999" customHeight="1" x14ac:dyDescent="0.25">
      <c r="B24" s="134"/>
      <c r="Q24" s="131"/>
    </row>
    <row r="25" spans="2:17" s="7" customFormat="1" ht="6.6" customHeight="1" x14ac:dyDescent="0.25">
      <c r="B25" s="134"/>
      <c r="Q25" s="131"/>
    </row>
    <row r="26" spans="2:17" s="7" customFormat="1" ht="16.899999999999999" customHeight="1" x14ac:dyDescent="0.25">
      <c r="B26" s="134"/>
      <c r="D26" s="131"/>
      <c r="Q26" s="131"/>
    </row>
    <row r="27" spans="2:17" s="7" customFormat="1" ht="6.6" customHeight="1" x14ac:dyDescent="0.25">
      <c r="B27" s="134"/>
      <c r="D27" s="131"/>
      <c r="Q27" s="131"/>
    </row>
    <row r="28" spans="2:17" s="7" customFormat="1" ht="16.899999999999999" customHeight="1" x14ac:dyDescent="0.25">
      <c r="B28" s="134"/>
      <c r="D28" s="131"/>
      <c r="Q28" s="131"/>
    </row>
    <row r="29" spans="2:17" s="7" customFormat="1" x14ac:dyDescent="0.25">
      <c r="B29" s="134"/>
      <c r="D29" s="131"/>
      <c r="Q29" s="131"/>
    </row>
    <row r="30" spans="2:17" s="7" customFormat="1" x14ac:dyDescent="0.25">
      <c r="B30" s="134"/>
      <c r="D30" s="131"/>
      <c r="Q30" s="131"/>
    </row>
    <row r="31" spans="2:17" s="7" customFormat="1" ht="16.899999999999999" customHeight="1" x14ac:dyDescent="0.25">
      <c r="B31" s="134"/>
      <c r="D31" s="131"/>
    </row>
    <row r="32" spans="2:17" s="7" customFormat="1" ht="16.899999999999999" customHeight="1" x14ac:dyDescent="0.25">
      <c r="B32" s="134"/>
      <c r="D32" s="131"/>
    </row>
    <row r="33" spans="2:4" s="7" customFormat="1" ht="16.899999999999999" customHeight="1" x14ac:dyDescent="0.25">
      <c r="B33" s="134"/>
      <c r="D33" s="131"/>
    </row>
    <row r="34" spans="2:4" s="7" customFormat="1" ht="16.899999999999999" customHeight="1" x14ac:dyDescent="0.25">
      <c r="B34" s="134"/>
      <c r="D34" s="131"/>
    </row>
    <row r="35" spans="2:4" s="7" customFormat="1" ht="16.899999999999999" customHeight="1" x14ac:dyDescent="0.25">
      <c r="B35" s="134"/>
      <c r="D35" s="131"/>
    </row>
    <row r="36" spans="2:4" s="7" customFormat="1" ht="16.899999999999999" customHeight="1" x14ac:dyDescent="0.25">
      <c r="B36" s="134"/>
      <c r="D36" s="131"/>
    </row>
    <row r="37" spans="2:4" s="7" customFormat="1" ht="16.899999999999999" customHeight="1" x14ac:dyDescent="0.25">
      <c r="B37" s="134"/>
      <c r="D37" s="131"/>
    </row>
    <row r="38" spans="2:4" s="7" customFormat="1" x14ac:dyDescent="0.25">
      <c r="B38" s="134"/>
      <c r="D38" s="131"/>
    </row>
    <row r="39" spans="2:4" s="7" customFormat="1" x14ac:dyDescent="0.25">
      <c r="B39" s="134"/>
      <c r="D39" s="131"/>
    </row>
    <row r="40" spans="2:4" s="7" customFormat="1" x14ac:dyDescent="0.25">
      <c r="B40" s="134"/>
      <c r="D40" s="131"/>
    </row>
    <row r="41" spans="2:4" s="7" customFormat="1" x14ac:dyDescent="0.25">
      <c r="B41" s="134"/>
      <c r="D41" s="131"/>
    </row>
    <row r="42" spans="2:4" s="7" customFormat="1" x14ac:dyDescent="0.25">
      <c r="B42" s="134"/>
      <c r="D42" s="131"/>
    </row>
    <row r="43" spans="2:4" s="7" customFormat="1" x14ac:dyDescent="0.25">
      <c r="B43" s="134"/>
      <c r="D43" s="131"/>
    </row>
    <row r="44" spans="2:4" s="7" customFormat="1" x14ac:dyDescent="0.25">
      <c r="B44" s="134"/>
      <c r="D44" s="131"/>
    </row>
    <row r="45" spans="2:4" s="7" customFormat="1" x14ac:dyDescent="0.25">
      <c r="B45" s="134"/>
      <c r="C45" s="118"/>
      <c r="D45" s="135"/>
    </row>
    <row r="46" spans="2:4" s="7" customFormat="1" x14ac:dyDescent="0.25">
      <c r="B46" s="134"/>
      <c r="C46" s="118"/>
      <c r="D46" s="135"/>
    </row>
    <row r="66" ht="6" customHeight="1" x14ac:dyDescent="0.25"/>
    <row r="68" ht="6" customHeight="1" x14ac:dyDescent="0.25"/>
  </sheetData>
  <sheetProtection password="DD81" sheet="1" objects="1" scenarios="1"/>
  <hyperlinks>
    <hyperlink ref="D2" location="'Lafitt 90 simple'!A1" display="Mur de soutènement " xr:uid="{00000000-0004-0000-0000-000000000000}"/>
    <hyperlink ref="D3" location="'Lafitt 90 double'!A1" display="Mur double face" xr:uid="{00000000-0004-0000-0000-000001000000}"/>
    <hyperlink ref="D4" location="'Lafitt 90 colonne'!A1" display="Colonne" xr:uid="{00000000-0004-0000-0000-000002000000}"/>
    <hyperlink ref="F2" location="'Lafitt 180 simple'!A1" display="Mur de soutènement " xr:uid="{00000000-0004-0000-0000-000003000000}"/>
    <hyperlink ref="F3" location="'Lafitt 180 double'!A1" display="Mur double face" xr:uid="{00000000-0004-0000-0000-000004000000}"/>
    <hyperlink ref="J2" location="'Esplanade simple'!A1" display="Mur de soutènement " xr:uid="{00000000-0004-0000-0000-000005000000}"/>
    <hyperlink ref="F4" location="'Lafitt 180 colonne'!A1" display="Colonne" xr:uid="{00000000-0004-0000-0000-000006000000}"/>
    <hyperlink ref="J4" location="'Esplanade Colonne'!A1" display="Colonne" xr:uid="{00000000-0004-0000-0000-000007000000}"/>
    <hyperlink ref="H2" location="'Lafitt 90  &amp; 180 simple'!Zone_d_impression" display="Mur de soutènement " xr:uid="{00000000-0004-0000-0000-000008000000}"/>
    <hyperlink ref="H3" location="'Lafitt 90 &amp;180 double'!Zone_d_impression" display="Mur double face" xr:uid="{00000000-0004-0000-0000-000009000000}"/>
    <hyperlink ref="J3" location="'Esplanade double'!A1" display="Mur double face" xr:uid="{00000000-0004-0000-0000-00000A000000}"/>
  </hyperlinks>
  <printOptions horizontalCentered="1"/>
  <pageMargins left="0.62992125984251968" right="0.62992125984251968" top="0.35433070866141736" bottom="0.35433070866141736" header="0.31496062992125984" footer="0.31496062992125984"/>
  <pageSetup scale="78" fitToHeight="0" orientation="landscape" r:id="rId1"/>
  <headerFooter>
    <oddFooter>&amp;C&amp;G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V43"/>
  <sheetViews>
    <sheetView showGridLines="0" tabSelected="1" zoomScaleNormal="100" zoomScaleSheetLayoutView="130" workbookViewId="0">
      <pane ySplit="2" topLeftCell="A3" activePane="bottomLeft" state="frozen"/>
      <selection activeCell="H11" sqref="H11"/>
      <selection pane="bottomLeft" activeCell="F4" sqref="F4"/>
    </sheetView>
  </sheetViews>
  <sheetFormatPr baseColWidth="10" defaultColWidth="11.5703125" defaultRowHeight="15" x14ac:dyDescent="0.25"/>
  <cols>
    <col min="1" max="1" width="11.5703125" style="2"/>
    <col min="2" max="2" width="2.7109375" style="2" customWidth="1"/>
    <col min="3" max="3" width="11.5703125" style="2"/>
    <col min="4" max="4" width="3.42578125" style="2" customWidth="1"/>
    <col min="5" max="5" width="16.42578125" style="2" customWidth="1"/>
    <col min="6" max="6" width="6" style="2" customWidth="1"/>
    <col min="7" max="7" width="8.5703125" style="2" customWidth="1"/>
    <col min="8" max="8" width="6" style="2" customWidth="1"/>
    <col min="9" max="9" width="6.5703125" style="2" customWidth="1"/>
    <col min="10" max="10" width="7.7109375" style="2" customWidth="1"/>
    <col min="11" max="11" width="6.85546875" style="2" customWidth="1"/>
    <col min="12" max="12" width="11.140625" style="2" customWidth="1"/>
    <col min="13" max="13" width="12.5703125" style="2" customWidth="1"/>
    <col min="14" max="16" width="6.28515625" style="178" customWidth="1"/>
    <col min="17" max="48" width="11.5703125" style="6"/>
    <col min="49" max="16384" width="11.5703125" style="2"/>
  </cols>
  <sheetData>
    <row r="1" spans="2:48" s="202" customFormat="1" ht="25.9" customHeight="1" x14ac:dyDescent="0.25">
      <c r="B1" s="203"/>
      <c r="C1" s="217" t="s">
        <v>22</v>
      </c>
      <c r="D1" s="217"/>
      <c r="E1" s="217"/>
      <c r="F1" s="217"/>
      <c r="G1" s="217"/>
      <c r="H1" s="217"/>
      <c r="I1" s="217"/>
      <c r="J1" s="217"/>
      <c r="K1" s="217"/>
      <c r="L1" s="217"/>
      <c r="M1" s="204"/>
      <c r="N1" s="206"/>
      <c r="O1" s="206"/>
      <c r="P1" s="206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03"/>
      <c r="C2" s="217" t="s">
        <v>30</v>
      </c>
      <c r="D2" s="217"/>
      <c r="E2" s="217"/>
      <c r="F2" s="217"/>
      <c r="G2" s="217"/>
      <c r="H2" s="217"/>
      <c r="I2" s="217"/>
      <c r="J2" s="217"/>
      <c r="K2" s="217"/>
      <c r="L2" s="217"/>
      <c r="M2" s="204"/>
      <c r="N2" s="206"/>
      <c r="O2" s="206"/>
      <c r="P2" s="206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56.45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78"/>
      <c r="O3" s="178"/>
      <c r="P3" s="178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x14ac:dyDescent="0.25">
      <c r="B4" s="11"/>
      <c r="C4" s="11"/>
      <c r="D4" s="11"/>
      <c r="E4" s="13" t="s">
        <v>12</v>
      </c>
      <c r="F4" s="190"/>
      <c r="G4" s="14" t="s">
        <v>123</v>
      </c>
      <c r="H4" s="11"/>
      <c r="I4" s="11"/>
      <c r="J4" s="11"/>
      <c r="K4" s="11"/>
      <c r="L4" s="11"/>
      <c r="M4" s="11"/>
      <c r="N4" s="178"/>
      <c r="O4" s="178"/>
      <c r="P4" s="178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11"/>
      <c r="C5" s="11"/>
      <c r="D5" s="11"/>
      <c r="E5" s="11"/>
      <c r="F5" s="196"/>
      <c r="G5" s="11"/>
      <c r="H5" s="11"/>
      <c r="I5" s="11"/>
      <c r="J5" s="11"/>
      <c r="K5" s="11"/>
      <c r="L5" s="11"/>
      <c r="M5" s="11"/>
      <c r="N5" s="178" t="s">
        <v>127</v>
      </c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x14ac:dyDescent="0.25">
      <c r="B6" s="11"/>
      <c r="C6" s="11" t="s">
        <v>1</v>
      </c>
      <c r="D6" s="11"/>
      <c r="E6" s="11"/>
      <c r="F6" s="188"/>
      <c r="G6" s="37" t="str">
        <f>IF(F$4="","po","m")</f>
        <v>po</v>
      </c>
      <c r="H6" s="35">
        <f>IF(F4="",(IF(N6&lt;P6+0.01,N6,P6)),(IF(N6&lt;O6+0.001,N6,O6)))</f>
        <v>0</v>
      </c>
      <c r="I6" s="36" t="str">
        <f>IF(F$4&gt;"","m","po")</f>
        <v>po</v>
      </c>
      <c r="J6" s="38"/>
      <c r="K6" s="11"/>
      <c r="L6" s="11"/>
      <c r="M6" s="11"/>
      <c r="N6" s="178">
        <f>IF(F4="",7*(ROUNDUP(F6/7,0)),0.18*(ROUNDUP(F6/0.18,0)))</f>
        <v>0</v>
      </c>
      <c r="O6" s="178">
        <v>0.63</v>
      </c>
      <c r="P6" s="178">
        <v>24.5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11"/>
      <c r="C7" s="11" t="s">
        <v>20</v>
      </c>
      <c r="D7" s="11"/>
      <c r="E7" s="11"/>
      <c r="F7" s="196"/>
      <c r="G7" s="231" t="str">
        <f>IF(F4="",(IF(F6&lt;(P6+0.01),"Hauteur ajustée au 7 po près","Hauteur maximale 24,5 po")),(IF(F6&lt;O6+0.001,"Hauteur ajustée au 0,18 m près","Hauteur maximale 0,62 m")))</f>
        <v>Hauteur ajustée au 7 po près</v>
      </c>
      <c r="H7" s="231"/>
      <c r="I7" s="231"/>
      <c r="J7" s="231"/>
      <c r="K7" s="11"/>
      <c r="L7" s="11"/>
      <c r="M7" s="11"/>
      <c r="N7" s="178"/>
      <c r="O7" s="178"/>
      <c r="P7" s="178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11"/>
      <c r="C8" s="11"/>
      <c r="D8" s="11"/>
      <c r="E8" s="11"/>
      <c r="F8" s="196"/>
      <c r="G8" s="11"/>
      <c r="H8" s="11"/>
      <c r="I8" s="11"/>
      <c r="J8" s="11"/>
      <c r="K8" s="11"/>
      <c r="L8" s="11"/>
      <c r="M8" s="11"/>
      <c r="N8" s="178"/>
      <c r="O8" s="178"/>
      <c r="P8" s="178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4.45" customHeight="1" x14ac:dyDescent="0.25">
      <c r="B9" s="11"/>
      <c r="C9" s="11" t="s">
        <v>2</v>
      </c>
      <c r="D9" s="11"/>
      <c r="E9" s="11"/>
      <c r="F9" s="189"/>
      <c r="G9" s="14" t="str">
        <f>IF(F$4="","pi","m")</f>
        <v>pi</v>
      </c>
      <c r="H9" s="11"/>
      <c r="I9" s="11"/>
      <c r="J9" s="11"/>
      <c r="K9" s="15"/>
      <c r="L9" s="11"/>
      <c r="M9" s="230"/>
      <c r="N9" s="178"/>
      <c r="O9" s="178"/>
      <c r="P9" s="178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11"/>
      <c r="C10" s="11"/>
      <c r="D10" s="11"/>
      <c r="E10" s="11"/>
      <c r="F10" s="196"/>
      <c r="G10" s="11"/>
      <c r="H10" s="11"/>
      <c r="I10" s="11"/>
      <c r="J10" s="11"/>
      <c r="K10" s="230"/>
      <c r="L10" s="11"/>
      <c r="M10" s="230"/>
      <c r="N10" s="178"/>
      <c r="O10" s="178"/>
      <c r="P10" s="178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4.45" customHeight="1" x14ac:dyDescent="0.25">
      <c r="B11" s="11"/>
      <c r="C11" s="11" t="s">
        <v>3</v>
      </c>
      <c r="D11" s="11"/>
      <c r="E11" s="11"/>
      <c r="F11" s="190"/>
      <c r="G11" s="14"/>
      <c r="H11" s="11"/>
      <c r="I11" s="11"/>
      <c r="J11" s="11"/>
      <c r="K11" s="230"/>
      <c r="L11" s="11"/>
      <c r="M11" s="230"/>
      <c r="N11" s="178"/>
      <c r="O11" s="178"/>
      <c r="P11" s="178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11"/>
      <c r="C12" s="11"/>
      <c r="D12" s="11"/>
      <c r="E12" s="11"/>
      <c r="F12" s="196"/>
      <c r="G12" s="11"/>
      <c r="H12" s="11"/>
      <c r="I12" s="11"/>
      <c r="J12" s="11"/>
      <c r="K12" s="230"/>
      <c r="L12" s="11"/>
      <c r="M12" s="230"/>
      <c r="N12" s="178"/>
      <c r="O12" s="178"/>
      <c r="P12" s="178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11"/>
      <c r="C13" s="11" t="s">
        <v>18</v>
      </c>
      <c r="D13" s="11"/>
      <c r="E13" s="11"/>
      <c r="F13" s="210">
        <f>IF(F4="",(F9*(H6+3.5)/12),((H6+0.09)*F9))*2</f>
        <v>0</v>
      </c>
      <c r="G13" s="14" t="str">
        <f>IF(F$4="","pi²","m²")</f>
        <v>pi²</v>
      </c>
      <c r="H13" s="11"/>
      <c r="I13" s="16"/>
      <c r="J13" s="11"/>
      <c r="K13" s="230"/>
      <c r="L13" s="11"/>
      <c r="M13" s="230"/>
      <c r="N13" s="178"/>
      <c r="O13" s="178"/>
      <c r="P13" s="178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11"/>
      <c r="C14" s="11" t="s">
        <v>13</v>
      </c>
      <c r="D14" s="11"/>
      <c r="E14" s="11"/>
      <c r="F14" s="11"/>
      <c r="G14" s="11"/>
      <c r="H14" s="11"/>
      <c r="I14" s="11"/>
      <c r="J14" s="11"/>
      <c r="K14" s="230"/>
      <c r="L14" s="11"/>
      <c r="M14" s="230"/>
      <c r="N14" s="178"/>
      <c r="O14" s="178"/>
      <c r="P14" s="178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230"/>
      <c r="L15" s="11"/>
      <c r="M15" s="230"/>
      <c r="N15" s="178"/>
      <c r="O15" s="178"/>
      <c r="P15" s="178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11"/>
      <c r="C16" s="60" t="s">
        <v>6</v>
      </c>
      <c r="D16" s="61"/>
      <c r="E16" s="62"/>
      <c r="F16" s="62"/>
      <c r="G16" s="62"/>
      <c r="H16" s="62"/>
      <c r="I16" s="62"/>
      <c r="J16" s="62"/>
      <c r="K16" s="230"/>
      <c r="L16" s="11"/>
      <c r="M16" s="11"/>
      <c r="N16" s="178"/>
      <c r="O16" s="178"/>
      <c r="P16" s="178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11"/>
      <c r="C17" s="11"/>
      <c r="D17" s="11"/>
      <c r="E17" s="11"/>
      <c r="F17" s="11"/>
      <c r="G17" s="68"/>
      <c r="H17" s="11"/>
      <c r="I17" s="68"/>
      <c r="J17" s="11"/>
      <c r="K17" s="11"/>
      <c r="L17" s="11"/>
      <c r="M17" s="11"/>
      <c r="N17" s="178" t="s">
        <v>14</v>
      </c>
      <c r="O17" s="178" t="s">
        <v>117</v>
      </c>
      <c r="P17" s="178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4.6" customHeight="1" x14ac:dyDescent="0.25">
      <c r="B18" s="11"/>
      <c r="C18" s="11" t="s">
        <v>33</v>
      </c>
      <c r="D18" s="11"/>
      <c r="E18" s="11"/>
      <c r="F18" s="11"/>
      <c r="G18" s="183">
        <f>IF(F4="",(I18*46.52)+(K18*11.63),(I18*4.32)+(K18*1.08))</f>
        <v>0</v>
      </c>
      <c r="H18" s="11" t="str">
        <f>IF(F$4="","pi²","m²")</f>
        <v>pi²</v>
      </c>
      <c r="I18" s="211">
        <f>IF(P18&gt;0.751,O18+1,O18)</f>
        <v>0</v>
      </c>
      <c r="J18" s="52" t="s">
        <v>14</v>
      </c>
      <c r="K18" s="211">
        <f>IF(P18&gt;0.751,0,IF(P18&gt;0.501,3,IF(P18&gt;0.251,2,IF(P18&gt;0,1,0))))</f>
        <v>0</v>
      </c>
      <c r="L18" s="11" t="s">
        <v>116</v>
      </c>
      <c r="M18" s="11"/>
      <c r="N18" s="193">
        <f>IF(F4="",(F13/46.5),(F13/4.32))</f>
        <v>0</v>
      </c>
      <c r="O18" s="178">
        <f>ROUNDDOWN(N18,0)</f>
        <v>0</v>
      </c>
      <c r="P18" s="193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11"/>
      <c r="C19" s="11"/>
      <c r="D19" s="11"/>
      <c r="E19" s="11"/>
      <c r="F19" s="11"/>
      <c r="G19" s="195"/>
      <c r="H19" s="11"/>
      <c r="I19" s="196"/>
      <c r="J19" s="14"/>
      <c r="K19" s="186"/>
      <c r="L19" s="11"/>
      <c r="M19" s="11"/>
      <c r="N19" s="178"/>
      <c r="O19" s="178"/>
      <c r="P19" s="178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4.6" customHeight="1" x14ac:dyDescent="0.25">
      <c r="B20" s="11"/>
      <c r="C20" s="19" t="s">
        <v>23</v>
      </c>
      <c r="D20" s="19"/>
      <c r="E20" s="11"/>
      <c r="F20" s="11"/>
      <c r="G20" s="211">
        <f>IF(F4="",G18*5.5,G18*60)/2</f>
        <v>0</v>
      </c>
      <c r="H20" s="11" t="s">
        <v>21</v>
      </c>
      <c r="I20" s="213">
        <f>ROUNDUP(G20/50,0)</f>
        <v>0</v>
      </c>
      <c r="J20" s="14" t="s">
        <v>31</v>
      </c>
      <c r="K20" s="186"/>
      <c r="L20" s="11"/>
      <c r="M20" s="11"/>
      <c r="N20" s="178"/>
      <c r="O20" s="178"/>
      <c r="P20" s="178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11"/>
      <c r="C21" s="19"/>
      <c r="D21" s="19"/>
      <c r="E21" s="11"/>
      <c r="F21" s="11"/>
      <c r="G21" s="196"/>
      <c r="H21" s="11"/>
      <c r="I21" s="196"/>
      <c r="J21" s="14"/>
      <c r="K21" s="186"/>
      <c r="L21" s="11"/>
      <c r="M21" s="11"/>
      <c r="N21" s="178"/>
      <c r="O21" s="178"/>
      <c r="P21" s="178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4.6" customHeight="1" x14ac:dyDescent="0.25">
      <c r="B22" s="11"/>
      <c r="C22" s="11" t="s">
        <v>24</v>
      </c>
      <c r="D22" s="11"/>
      <c r="E22" s="11"/>
      <c r="F22" s="11"/>
      <c r="G22" s="211">
        <f>IF(F4="",(((H6+7)/7)*F11),((H6+0.18)/0.18)*F11)</f>
        <v>0</v>
      </c>
      <c r="H22" s="11" t="s">
        <v>21</v>
      </c>
      <c r="I22" s="213">
        <f>ROUNDUP(G22/50,0)</f>
        <v>0</v>
      </c>
      <c r="J22" s="14" t="s">
        <v>31</v>
      </c>
      <c r="K22" s="186"/>
      <c r="L22" s="11"/>
      <c r="M22" s="11"/>
      <c r="N22" s="178"/>
      <c r="O22" s="178"/>
      <c r="P22" s="17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11"/>
      <c r="C23" s="11"/>
      <c r="D23" s="11"/>
      <c r="E23" s="11"/>
      <c r="F23" s="11"/>
      <c r="G23" s="196"/>
      <c r="H23" s="11"/>
      <c r="I23" s="196"/>
      <c r="J23" s="14"/>
      <c r="K23" s="196"/>
      <c r="L23" s="68"/>
      <c r="M23" s="11"/>
      <c r="N23" s="178"/>
      <c r="O23" s="178"/>
      <c r="P23" s="178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4.6" customHeight="1" x14ac:dyDescent="0.25">
      <c r="B24" s="11"/>
      <c r="C24" s="11" t="s">
        <v>32</v>
      </c>
      <c r="D24" s="11"/>
      <c r="E24" s="11"/>
      <c r="F24" s="11"/>
      <c r="G24" s="211">
        <f>IF(F4="",ROUNDUP(F9*12/42,0),ROUNDUP(F9/1.067,0))</f>
        <v>0</v>
      </c>
      <c r="H24" s="11" t="s">
        <v>21</v>
      </c>
      <c r="I24" s="184">
        <f>O24</f>
        <v>0</v>
      </c>
      <c r="J24" s="52" t="s">
        <v>14</v>
      </c>
      <c r="K24" s="184">
        <f>G24-(I24*17)</f>
        <v>0</v>
      </c>
      <c r="L24" s="11" t="s">
        <v>145</v>
      </c>
      <c r="M24" s="11"/>
      <c r="N24" s="193">
        <f>IF(F4="",(F9*12/42/17),(F9/1.067/17))</f>
        <v>0</v>
      </c>
      <c r="O24" s="178">
        <f>ROUNDDOWN(N24,0)</f>
        <v>0</v>
      </c>
      <c r="P24" s="193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11"/>
      <c r="C25" s="11"/>
      <c r="D25" s="11"/>
      <c r="E25" s="11"/>
      <c r="F25" s="11"/>
      <c r="G25" s="195"/>
      <c r="H25" s="11"/>
      <c r="I25" s="196"/>
      <c r="J25" s="14"/>
      <c r="K25" s="196"/>
      <c r="L25" s="14"/>
      <c r="M25" s="11"/>
      <c r="N25" s="178"/>
      <c r="O25" s="178"/>
      <c r="P25" s="193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4.6" customHeight="1" x14ac:dyDescent="0.25">
      <c r="B26" s="11"/>
      <c r="C26" s="11" t="s">
        <v>16</v>
      </c>
      <c r="D26" s="11"/>
      <c r="E26" s="11"/>
      <c r="F26" s="11"/>
      <c r="G26" s="211">
        <f>IF(F4="",ROUNDUP(F9*12/7.87,0),ROUNDUP(F9/0.2,0))</f>
        <v>0</v>
      </c>
      <c r="H26" s="11" t="s">
        <v>21</v>
      </c>
      <c r="I26" s="184">
        <f>O26</f>
        <v>0</v>
      </c>
      <c r="J26" s="52" t="s">
        <v>14</v>
      </c>
      <c r="K26" s="184">
        <f>G26-(I26*60)</f>
        <v>0</v>
      </c>
      <c r="L26" s="11" t="s">
        <v>145</v>
      </c>
      <c r="M26" s="11"/>
      <c r="N26" s="193">
        <f>IF(F4="",(F9*12/7.87/60),(F9/0.2/60))</f>
        <v>0</v>
      </c>
      <c r="O26" s="178">
        <f>ROUNDDOWN(N26,0)</f>
        <v>0</v>
      </c>
      <c r="P26" s="193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8.4499999999999993" customHeight="1" x14ac:dyDescent="0.25">
      <c r="B27" s="11"/>
      <c r="C27" s="11"/>
      <c r="D27" s="11"/>
      <c r="E27" s="11"/>
      <c r="F27" s="11"/>
      <c r="G27" s="186"/>
      <c r="H27" s="68"/>
      <c r="I27" s="11"/>
      <c r="J27" s="14"/>
      <c r="K27" s="11"/>
      <c r="L27" s="11"/>
      <c r="M27" s="11"/>
      <c r="N27" s="178"/>
      <c r="O27" s="178"/>
      <c r="P27" s="178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ht="21" customHeight="1" x14ac:dyDescent="0.25">
      <c r="B28" s="11"/>
      <c r="C28" s="11" t="s">
        <v>35</v>
      </c>
      <c r="D28" s="11"/>
      <c r="E28" s="11"/>
      <c r="F28" s="11"/>
      <c r="G28" s="212">
        <f>IF(F4="",ROUNDUP(F13*0.25,0),ROUNDUP(F13*0.5*0.15,0))</f>
        <v>0</v>
      </c>
      <c r="H28" s="11" t="str">
        <f>IF(F$4="","pi³","m³")</f>
        <v>pi³</v>
      </c>
      <c r="I28" s="11"/>
      <c r="J28" s="11"/>
      <c r="K28" s="11"/>
      <c r="L28" s="11"/>
      <c r="M28" s="11"/>
      <c r="N28" s="178"/>
      <c r="O28" s="178"/>
      <c r="P28" s="178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78"/>
      <c r="O29" s="178"/>
      <c r="P29" s="178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11"/>
      <c r="C30" s="44" t="s">
        <v>5</v>
      </c>
      <c r="D30" s="48">
        <v>1</v>
      </c>
      <c r="E30" s="53" t="s">
        <v>4</v>
      </c>
      <c r="F30" s="11"/>
      <c r="G30" s="11"/>
      <c r="H30" s="11"/>
      <c r="I30" s="11"/>
      <c r="J30" s="11"/>
      <c r="K30" s="11"/>
      <c r="L30" s="11"/>
      <c r="M30" s="11"/>
      <c r="N30" s="178"/>
      <c r="O30" s="178"/>
      <c r="P30" s="178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44"/>
      <c r="D31" s="48">
        <v>2</v>
      </c>
      <c r="E31" s="54" t="s">
        <v>128</v>
      </c>
      <c r="F31" s="11"/>
      <c r="G31" s="11"/>
      <c r="H31" s="11"/>
      <c r="I31" s="11"/>
      <c r="J31" s="11"/>
      <c r="K31" s="11"/>
      <c r="L31" s="11"/>
      <c r="M31" s="11"/>
      <c r="N31" s="178"/>
      <c r="O31" s="178"/>
      <c r="P31" s="178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11"/>
      <c r="C32" s="44"/>
      <c r="D32" s="48"/>
      <c r="E32" s="55" t="s">
        <v>134</v>
      </c>
      <c r="F32" s="11"/>
      <c r="G32" s="11"/>
      <c r="H32" s="11"/>
      <c r="I32" s="11"/>
      <c r="J32" s="11"/>
      <c r="K32" s="11"/>
      <c r="L32" s="11"/>
      <c r="M32" s="11"/>
      <c r="N32" s="178"/>
      <c r="O32" s="178"/>
      <c r="P32" s="178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44"/>
      <c r="D33" s="48">
        <v>3</v>
      </c>
      <c r="E33" s="55" t="s">
        <v>165</v>
      </c>
      <c r="F33" s="11"/>
      <c r="G33" s="11"/>
      <c r="H33" s="11"/>
      <c r="I33" s="11"/>
      <c r="J33" s="11"/>
      <c r="K33" s="11"/>
      <c r="L33" s="11"/>
      <c r="M33" s="11"/>
      <c r="N33" s="178"/>
      <c r="O33" s="178"/>
      <c r="P33" s="178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1"/>
      <c r="C34" s="44"/>
      <c r="D34" s="48">
        <v>4</v>
      </c>
      <c r="E34" s="55" t="s">
        <v>164</v>
      </c>
      <c r="F34" s="11"/>
      <c r="G34" s="11"/>
      <c r="H34" s="11"/>
      <c r="I34" s="11"/>
      <c r="J34" s="11"/>
      <c r="K34" s="11"/>
      <c r="L34" s="11"/>
      <c r="M34" s="11"/>
      <c r="N34" s="178"/>
      <c r="O34" s="178"/>
      <c r="P34" s="178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44"/>
      <c r="D35" s="48">
        <v>5</v>
      </c>
      <c r="E35" s="55" t="s">
        <v>135</v>
      </c>
      <c r="F35" s="11"/>
      <c r="G35" s="11"/>
      <c r="H35" s="11"/>
      <c r="I35" s="11"/>
      <c r="J35" s="11"/>
      <c r="K35" s="11"/>
      <c r="L35" s="11"/>
      <c r="M35" s="11"/>
      <c r="N35" s="178"/>
      <c r="O35" s="178"/>
      <c r="P35" s="178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11"/>
      <c r="C36" s="44"/>
      <c r="D36" s="48">
        <v>6</v>
      </c>
      <c r="E36" s="55" t="s">
        <v>130</v>
      </c>
      <c r="F36" s="11"/>
      <c r="G36" s="11"/>
      <c r="H36" s="11"/>
      <c r="I36" s="11"/>
      <c r="J36" s="11"/>
      <c r="K36" s="11"/>
      <c r="L36" s="11"/>
      <c r="M36" s="11"/>
      <c r="N36" s="178"/>
      <c r="O36" s="178"/>
      <c r="P36" s="178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11"/>
      <c r="C37" s="44"/>
      <c r="D37" s="48">
        <v>7</v>
      </c>
      <c r="E37" s="53" t="s">
        <v>131</v>
      </c>
      <c r="F37" s="11"/>
      <c r="G37" s="11"/>
      <c r="H37" s="11"/>
      <c r="I37" s="11"/>
      <c r="J37" s="11"/>
      <c r="K37" s="11"/>
      <c r="L37" s="11"/>
      <c r="M37" s="11"/>
      <c r="N37" s="178"/>
      <c r="O37" s="178"/>
      <c r="P37" s="178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11"/>
      <c r="C38" s="44"/>
      <c r="D38" s="48">
        <v>8</v>
      </c>
      <c r="E38" s="53" t="s">
        <v>132</v>
      </c>
      <c r="F38" s="11"/>
      <c r="G38" s="11"/>
      <c r="H38" s="11"/>
      <c r="I38" s="11"/>
      <c r="J38" s="11"/>
      <c r="K38" s="11"/>
      <c r="L38" s="11"/>
      <c r="M38" s="11"/>
      <c r="N38" s="178"/>
      <c r="O38" s="178"/>
      <c r="P38" s="178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1"/>
      <c r="C39" s="44"/>
      <c r="D39" s="48"/>
      <c r="E39" s="55" t="s">
        <v>146</v>
      </c>
      <c r="F39" s="11"/>
      <c r="G39" s="11"/>
      <c r="H39" s="11"/>
      <c r="I39" s="11"/>
      <c r="J39" s="11"/>
      <c r="K39" s="11"/>
      <c r="L39" s="11"/>
      <c r="M39" s="11"/>
      <c r="N39" s="178"/>
      <c r="O39" s="178"/>
      <c r="P39" s="178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"/>
      <c r="C40" s="44"/>
      <c r="D40" s="48">
        <v>9</v>
      </c>
      <c r="E40" s="55" t="s">
        <v>133</v>
      </c>
      <c r="F40" s="4"/>
      <c r="G40" s="4"/>
      <c r="H40" s="4"/>
      <c r="I40" s="4"/>
      <c r="J40" s="4"/>
      <c r="K40" s="4"/>
      <c r="L40" s="4"/>
      <c r="M40" s="4"/>
    </row>
    <row r="41" spans="2:48" x14ac:dyDescent="0.25">
      <c r="B41" s="4"/>
      <c r="C41" s="44"/>
      <c r="D41" s="48">
        <v>10</v>
      </c>
      <c r="E41" s="45" t="s">
        <v>136</v>
      </c>
      <c r="F41" s="4"/>
      <c r="G41" s="4"/>
      <c r="H41" s="4"/>
      <c r="I41" s="4"/>
      <c r="J41" s="4"/>
      <c r="K41" s="4"/>
      <c r="L41" s="4"/>
      <c r="M41" s="4"/>
    </row>
    <row r="42" spans="2:48" x14ac:dyDescent="0.25">
      <c r="B42" s="4"/>
      <c r="C42" s="4"/>
      <c r="D42" s="5"/>
      <c r="E42" s="4"/>
      <c r="F42" s="4"/>
      <c r="G42" s="4"/>
      <c r="H42" s="4"/>
      <c r="I42" s="4"/>
      <c r="J42" s="4"/>
      <c r="K42" s="4"/>
      <c r="L42" s="4"/>
      <c r="M42" s="4"/>
    </row>
    <row r="43" spans="2:48" x14ac:dyDescent="0.25">
      <c r="D43" s="3"/>
    </row>
  </sheetData>
  <sheetProtection password="DD81" sheet="1" objects="1" scenarios="1" selectLockedCells="1"/>
  <mergeCells count="6">
    <mergeCell ref="G7:J7"/>
    <mergeCell ref="M9:M15"/>
    <mergeCell ref="K10:K16"/>
    <mergeCell ref="O5:P5"/>
    <mergeCell ref="C1:L1"/>
    <mergeCell ref="C2:L2"/>
  </mergeCells>
  <conditionalFormatting sqref="H6:K6 G7">
    <cfRule type="containsText" dxfId="2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92" fitToHeight="0" orientation="portrait" r:id="rId1"/>
  <headerFooter>
    <oddFooter>&amp;C&amp;G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AV44"/>
  <sheetViews>
    <sheetView showGridLines="0" zoomScaleNormal="100" zoomScaleSheetLayoutView="130" workbookViewId="0">
      <pane ySplit="2" topLeftCell="A3" activePane="bottomLeft" state="frozen"/>
      <selection activeCell="H11" sqref="H11"/>
      <selection pane="bottomLeft" activeCell="F4" sqref="F4:F11"/>
    </sheetView>
  </sheetViews>
  <sheetFormatPr baseColWidth="10" defaultColWidth="11.5703125" defaultRowHeight="15" x14ac:dyDescent="0.25"/>
  <cols>
    <col min="1" max="1" width="11.5703125" style="2"/>
    <col min="2" max="2" width="2.7109375" style="2" customWidth="1"/>
    <col min="3" max="3" width="11.5703125" style="2"/>
    <col min="4" max="4" width="3.42578125" style="2" customWidth="1"/>
    <col min="5" max="5" width="17.7109375" style="2" customWidth="1"/>
    <col min="6" max="7" width="7.28515625" style="2" customWidth="1"/>
    <col min="8" max="8" width="7" style="2" customWidth="1"/>
    <col min="9" max="9" width="7.28515625" style="2" customWidth="1"/>
    <col min="10" max="10" width="7.7109375" style="2" customWidth="1"/>
    <col min="11" max="11" width="7.28515625" style="2" customWidth="1"/>
    <col min="12" max="12" width="8.7109375" style="23" customWidth="1"/>
    <col min="13" max="13" width="12.5703125" style="2" customWidth="1"/>
    <col min="14" max="16" width="6.28515625" style="178" customWidth="1"/>
    <col min="17" max="48" width="11.5703125" style="6"/>
    <col min="49" max="16384" width="11.5703125" style="2"/>
  </cols>
  <sheetData>
    <row r="1" spans="2:48" s="202" customFormat="1" ht="25.9" customHeight="1" x14ac:dyDescent="0.25">
      <c r="B1" s="203"/>
      <c r="C1" s="217" t="s">
        <v>22</v>
      </c>
      <c r="D1" s="217"/>
      <c r="E1" s="217"/>
      <c r="F1" s="217"/>
      <c r="G1" s="217"/>
      <c r="H1" s="217"/>
      <c r="I1" s="217"/>
      <c r="J1" s="217"/>
      <c r="K1" s="217"/>
      <c r="L1" s="217"/>
      <c r="M1" s="203"/>
      <c r="N1" s="206"/>
      <c r="O1" s="206"/>
      <c r="P1" s="206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03"/>
      <c r="C2" s="217" t="s">
        <v>125</v>
      </c>
      <c r="D2" s="217"/>
      <c r="E2" s="217"/>
      <c r="F2" s="217"/>
      <c r="G2" s="217"/>
      <c r="H2" s="217"/>
      <c r="I2" s="217"/>
      <c r="J2" s="217"/>
      <c r="K2" s="217"/>
      <c r="L2" s="217"/>
      <c r="M2" s="204"/>
      <c r="N2" s="206"/>
      <c r="O2" s="206"/>
      <c r="P2" s="206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56.45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21"/>
      <c r="M3" s="11"/>
      <c r="N3" s="178"/>
      <c r="O3" s="178"/>
      <c r="P3" s="178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x14ac:dyDescent="0.25">
      <c r="B4" s="11"/>
      <c r="C4" s="11"/>
      <c r="D4" s="11"/>
      <c r="E4" s="13" t="s">
        <v>12</v>
      </c>
      <c r="F4" s="190"/>
      <c r="G4" s="14" t="s">
        <v>123</v>
      </c>
      <c r="H4" s="11"/>
      <c r="I4" s="11"/>
      <c r="J4" s="11"/>
      <c r="K4" s="11"/>
      <c r="L4" s="21"/>
      <c r="M4" s="11"/>
      <c r="N4" s="178"/>
      <c r="O4" s="178"/>
      <c r="P4" s="178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11"/>
      <c r="C5" s="11"/>
      <c r="D5" s="11"/>
      <c r="E5" s="11"/>
      <c r="F5" s="196"/>
      <c r="G5" s="11"/>
      <c r="H5" s="11"/>
      <c r="I5" s="11"/>
      <c r="J5" s="11"/>
      <c r="K5" s="11"/>
      <c r="L5" s="21"/>
      <c r="M5" s="11"/>
      <c r="N5" s="178" t="s">
        <v>127</v>
      </c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x14ac:dyDescent="0.25">
      <c r="B6" s="11"/>
      <c r="C6" s="11" t="s">
        <v>1</v>
      </c>
      <c r="D6" s="11"/>
      <c r="E6" s="11"/>
      <c r="F6" s="188"/>
      <c r="G6" s="14" t="str">
        <f>IF(F$4="","po","m")</f>
        <v>po</v>
      </c>
      <c r="H6" s="39">
        <f>IF(F4="",(IF(N6&lt;P6+0.01,N6,P6)),(IF(N6&lt;O6+0.001,N6,O6)))</f>
        <v>0</v>
      </c>
      <c r="I6" s="40" t="str">
        <f>IF(F$4&gt;"","m","po")</f>
        <v>po</v>
      </c>
      <c r="J6" s="11"/>
      <c r="K6" s="11"/>
      <c r="L6" s="21"/>
      <c r="M6" s="11"/>
      <c r="N6" s="178">
        <f>IF(F4="",3.5*(ROUNDUP(F6/3.5,0)),0.09*(ROUNDUP(F6/0.09,0)))</f>
        <v>0</v>
      </c>
      <c r="O6" s="178">
        <v>0.63</v>
      </c>
      <c r="P6" s="178">
        <v>24.5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11"/>
      <c r="C7" s="11" t="s">
        <v>20</v>
      </c>
      <c r="D7" s="11"/>
      <c r="E7" s="11"/>
      <c r="F7" s="196"/>
      <c r="G7" s="227" t="str">
        <f>IF(F4="",(IF(F6&lt;(P6+0.01),"Hauteur ajustée au 3,5 po près","Hauteur maximale 24,5 po")),(IF(F6&lt;O6+0.001,"Hauteur ajustée au 0,09 m près","Hauteur maximale 0,62 m")))</f>
        <v>Hauteur ajustée au 3,5 po près</v>
      </c>
      <c r="H7" s="227"/>
      <c r="I7" s="227"/>
      <c r="J7" s="227"/>
      <c r="K7" s="11"/>
      <c r="L7" s="21"/>
      <c r="M7" s="11"/>
      <c r="N7" s="178"/>
      <c r="O7" s="178"/>
      <c r="P7" s="178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11"/>
      <c r="C8" s="11"/>
      <c r="D8" s="11"/>
      <c r="E8" s="11"/>
      <c r="F8" s="196"/>
      <c r="G8" s="11"/>
      <c r="H8" s="11"/>
      <c r="I8" s="11"/>
      <c r="J8" s="11"/>
      <c r="K8" s="11"/>
      <c r="L8" s="21"/>
      <c r="M8" s="11"/>
      <c r="N8" s="178"/>
      <c r="O8" s="178"/>
      <c r="P8" s="178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4.45" customHeight="1" x14ac:dyDescent="0.25">
      <c r="B9" s="11"/>
      <c r="C9" s="11" t="s">
        <v>2</v>
      </c>
      <c r="D9" s="11"/>
      <c r="E9" s="11"/>
      <c r="F9" s="189"/>
      <c r="G9" s="14" t="str">
        <f>IF(F$4="","pi","m")</f>
        <v>pi</v>
      </c>
      <c r="H9" s="11"/>
      <c r="I9" s="11"/>
      <c r="J9" s="11"/>
      <c r="K9" s="15"/>
      <c r="L9" s="21"/>
      <c r="M9" s="230"/>
      <c r="N9" s="178"/>
      <c r="O9" s="178"/>
      <c r="P9" s="178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11"/>
      <c r="C10" s="11"/>
      <c r="D10" s="11"/>
      <c r="E10" s="11"/>
      <c r="F10" s="196"/>
      <c r="G10" s="11"/>
      <c r="H10" s="11"/>
      <c r="I10" s="11"/>
      <c r="J10" s="11"/>
      <c r="K10" s="230"/>
      <c r="L10" s="21"/>
      <c r="M10" s="230"/>
      <c r="N10" s="178"/>
      <c r="O10" s="178"/>
      <c r="P10" s="178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4.45" customHeight="1" x14ac:dyDescent="0.25">
      <c r="B11" s="11"/>
      <c r="C11" s="11" t="s">
        <v>3</v>
      </c>
      <c r="D11" s="11"/>
      <c r="E11" s="11"/>
      <c r="F11" s="190"/>
      <c r="G11" s="14"/>
      <c r="H11" s="11"/>
      <c r="I11" s="11"/>
      <c r="J11" s="11"/>
      <c r="K11" s="230"/>
      <c r="L11" s="21"/>
      <c r="M11" s="230"/>
      <c r="N11" s="178"/>
      <c r="O11" s="178"/>
      <c r="P11" s="178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11"/>
      <c r="C12" s="11"/>
      <c r="D12" s="11"/>
      <c r="E12" s="11"/>
      <c r="F12" s="196"/>
      <c r="G12" s="11"/>
      <c r="H12" s="11"/>
      <c r="I12" s="11"/>
      <c r="J12" s="11"/>
      <c r="K12" s="230"/>
      <c r="L12" s="21"/>
      <c r="M12" s="230"/>
      <c r="N12" s="178"/>
      <c r="O12" s="178"/>
      <c r="P12" s="178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11"/>
      <c r="C13" s="11" t="s">
        <v>18</v>
      </c>
      <c r="D13" s="11"/>
      <c r="E13" s="11"/>
      <c r="F13" s="210">
        <f>IF(F4="",(F9*(H6+3.5)/12),((H6+0.09)*F9))*2</f>
        <v>0</v>
      </c>
      <c r="G13" s="14" t="str">
        <f>IF(F$4="","pi²","m²")</f>
        <v>pi²</v>
      </c>
      <c r="H13" s="11"/>
      <c r="I13" s="16"/>
      <c r="J13" s="11"/>
      <c r="K13" s="230"/>
      <c r="L13" s="21"/>
      <c r="M13" s="230"/>
      <c r="N13" s="178"/>
      <c r="O13" s="178"/>
      <c r="P13" s="178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11"/>
      <c r="C14" s="11" t="s">
        <v>13</v>
      </c>
      <c r="D14" s="11"/>
      <c r="E14" s="11"/>
      <c r="F14" s="11"/>
      <c r="G14" s="11"/>
      <c r="H14" s="11"/>
      <c r="I14" s="11"/>
      <c r="J14" s="11"/>
      <c r="K14" s="230"/>
      <c r="L14" s="21"/>
      <c r="M14" s="230"/>
      <c r="N14" s="178"/>
      <c r="O14" s="178"/>
      <c r="P14" s="178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230"/>
      <c r="L15" s="21"/>
      <c r="M15" s="230"/>
      <c r="N15" s="178"/>
      <c r="O15" s="178"/>
      <c r="P15" s="178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11"/>
      <c r="C16" s="60" t="s">
        <v>6</v>
      </c>
      <c r="D16" s="61"/>
      <c r="E16" s="62"/>
      <c r="F16" s="62"/>
      <c r="G16" s="62"/>
      <c r="H16" s="62"/>
      <c r="I16" s="62"/>
      <c r="J16" s="62"/>
      <c r="K16" s="230"/>
      <c r="L16" s="21"/>
      <c r="M16" s="11"/>
      <c r="N16" s="178"/>
      <c r="O16" s="178"/>
      <c r="P16" s="178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11"/>
      <c r="C17" s="11"/>
      <c r="D17" s="11"/>
      <c r="E17" s="11"/>
      <c r="F17" s="11"/>
      <c r="G17" s="68"/>
      <c r="H17" s="11"/>
      <c r="I17" s="68"/>
      <c r="J17" s="11"/>
      <c r="K17" s="11"/>
      <c r="L17" s="21"/>
      <c r="M17" s="11"/>
      <c r="N17" s="178" t="s">
        <v>14</v>
      </c>
      <c r="O17" s="178" t="s">
        <v>117</v>
      </c>
      <c r="P17" s="178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7" customHeight="1" x14ac:dyDescent="0.25">
      <c r="B18" s="11"/>
      <c r="C18" s="11" t="s">
        <v>160</v>
      </c>
      <c r="D18" s="11"/>
      <c r="E18" s="11"/>
      <c r="F18" s="11"/>
      <c r="G18" s="183">
        <f>IF(F4="",(I18*42.12)+(K18*10.53),(I18*3.92)+(K18*0.98))</f>
        <v>0</v>
      </c>
      <c r="H18" s="11" t="str">
        <f>IF(F$4="","pi²","m²")</f>
        <v>pi²</v>
      </c>
      <c r="I18" s="184">
        <f>IF(P18&gt;0.751,O18+1,O18)</f>
        <v>0</v>
      </c>
      <c r="J18" s="84" t="s">
        <v>14</v>
      </c>
      <c r="K18" s="184">
        <f>IF(P18&gt;0.75,0,ROUNDUP(P18/0.25,0))</f>
        <v>0</v>
      </c>
      <c r="L18" s="11" t="s">
        <v>116</v>
      </c>
      <c r="M18" s="11"/>
      <c r="N18" s="193">
        <f>IF(F4="",(F13*0.85/42),(F13*0.85/3.92))</f>
        <v>0</v>
      </c>
      <c r="O18" s="178">
        <f>ROUNDDOWN(N18,0)</f>
        <v>0</v>
      </c>
      <c r="P18" s="193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10.15" customHeight="1" x14ac:dyDescent="0.25">
      <c r="B19" s="11"/>
      <c r="C19" s="11"/>
      <c r="D19" s="11"/>
      <c r="E19" s="11"/>
      <c r="F19" s="11"/>
      <c r="G19" s="196"/>
      <c r="H19" s="11"/>
      <c r="I19" s="196"/>
      <c r="J19" s="11"/>
      <c r="K19" s="186"/>
      <c r="L19" s="11"/>
      <c r="M19" s="11"/>
      <c r="N19" s="178"/>
      <c r="O19" s="178"/>
      <c r="P19" s="178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4.6" customHeight="1" x14ac:dyDescent="0.25">
      <c r="B20" s="11"/>
      <c r="C20" s="11" t="s">
        <v>161</v>
      </c>
      <c r="D20" s="11"/>
      <c r="E20" s="11"/>
      <c r="F20" s="11"/>
      <c r="G20" s="183">
        <f>IF(F4="",(I20*46.52)+(K20*11.63),(I18*4.32)+(K18*1.08))</f>
        <v>0</v>
      </c>
      <c r="H20" s="11" t="str">
        <f>IF(F$4="","pi²","m²")</f>
        <v>pi²</v>
      </c>
      <c r="I20" s="184">
        <f>IF(P20&gt;0.751,O20+1,O20)</f>
        <v>0</v>
      </c>
      <c r="J20" s="84" t="s">
        <v>14</v>
      </c>
      <c r="K20" s="184">
        <f>IF(P20&gt;0.751,0,IF(P20&gt;0.501,3,IF(P20&gt;0.251,2,IF(P20&gt;0,1,0))))</f>
        <v>0</v>
      </c>
      <c r="L20" s="11" t="s">
        <v>116</v>
      </c>
      <c r="M20" s="11"/>
      <c r="N20" s="193">
        <f>IF(F4="",(F13*0.15/46.5),(F13*0.15/4.32))</f>
        <v>0</v>
      </c>
      <c r="O20" s="178">
        <f>ROUNDDOWN(N20,0)</f>
        <v>0</v>
      </c>
      <c r="P20" s="193">
        <f>N20-O20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11"/>
      <c r="C21" s="11"/>
      <c r="D21" s="11"/>
      <c r="E21" s="11"/>
      <c r="F21" s="11"/>
      <c r="G21" s="195"/>
      <c r="H21" s="11"/>
      <c r="I21" s="196"/>
      <c r="J21" s="11"/>
      <c r="K21" s="186"/>
      <c r="L21" s="11"/>
      <c r="M21" s="11"/>
      <c r="N21" s="178"/>
      <c r="O21" s="178"/>
      <c r="P21" s="178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4.6" customHeight="1" x14ac:dyDescent="0.25">
      <c r="B22" s="11"/>
      <c r="C22" s="19" t="s">
        <v>23</v>
      </c>
      <c r="D22" s="19"/>
      <c r="E22" s="11"/>
      <c r="F22" s="11"/>
      <c r="G22" s="184">
        <f>IF(F4="",G20*5.5,G20*60)/2</f>
        <v>0</v>
      </c>
      <c r="H22" s="11" t="s">
        <v>21</v>
      </c>
      <c r="I22" s="185">
        <f>ROUNDUP(G22/50,0)</f>
        <v>0</v>
      </c>
      <c r="J22" s="11" t="s">
        <v>31</v>
      </c>
      <c r="K22" s="186"/>
      <c r="L22" s="11"/>
      <c r="M22" s="11"/>
      <c r="N22" s="178"/>
      <c r="O22" s="178"/>
      <c r="P22" s="17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11"/>
      <c r="C23" s="19"/>
      <c r="D23" s="19"/>
      <c r="E23" s="11"/>
      <c r="F23" s="11"/>
      <c r="G23" s="196"/>
      <c r="H23" s="11"/>
      <c r="I23" s="196"/>
      <c r="J23" s="11"/>
      <c r="K23" s="186"/>
      <c r="L23" s="11"/>
      <c r="M23" s="11"/>
      <c r="N23" s="178"/>
      <c r="O23" s="178"/>
      <c r="P23" s="178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4.6" customHeight="1" x14ac:dyDescent="0.25">
      <c r="B24" s="11"/>
      <c r="C24" s="11" t="s">
        <v>24</v>
      </c>
      <c r="D24" s="11"/>
      <c r="E24" s="11"/>
      <c r="F24" s="11"/>
      <c r="G24" s="184">
        <f>IF(F4="",(((H6+3.5)/3.5)*F11),((H6+0.09)/0.09)*F11)</f>
        <v>0</v>
      </c>
      <c r="H24" s="11" t="s">
        <v>21</v>
      </c>
      <c r="I24" s="185">
        <f>ROUNDUP(G24/50,0)</f>
        <v>0</v>
      </c>
      <c r="J24" s="11" t="s">
        <v>31</v>
      </c>
      <c r="K24" s="186"/>
      <c r="L24" s="11"/>
      <c r="M24" s="11"/>
      <c r="N24" s="178"/>
      <c r="O24" s="178"/>
      <c r="P24" s="178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11"/>
      <c r="C25" s="11"/>
      <c r="D25" s="11"/>
      <c r="E25" s="11"/>
      <c r="F25" s="11"/>
      <c r="G25" s="196"/>
      <c r="H25" s="11"/>
      <c r="I25" s="196"/>
      <c r="J25" s="11"/>
      <c r="K25" s="196"/>
      <c r="L25" s="11"/>
      <c r="M25" s="11"/>
      <c r="N25" s="178"/>
      <c r="O25" s="178"/>
      <c r="P25" s="178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4.6" customHeight="1" x14ac:dyDescent="0.25">
      <c r="B26" s="11"/>
      <c r="C26" s="11" t="s">
        <v>32</v>
      </c>
      <c r="D26" s="11"/>
      <c r="E26" s="11"/>
      <c r="F26" s="11"/>
      <c r="G26" s="184">
        <f>IF(F4="",ROUNDUP(F9*12/42,0),ROUNDUP(F9/1.067,0))</f>
        <v>0</v>
      </c>
      <c r="H26" s="11" t="s">
        <v>21</v>
      </c>
      <c r="I26" s="184">
        <f>O26</f>
        <v>0</v>
      </c>
      <c r="J26" s="52" t="s">
        <v>14</v>
      </c>
      <c r="K26" s="184">
        <f>G26-(I26*17)</f>
        <v>0</v>
      </c>
      <c r="L26" s="11" t="s">
        <v>145</v>
      </c>
      <c r="M26" s="11"/>
      <c r="N26" s="193">
        <f>IF(F4="",(F9*12/42/17),(F9/1.067/17))</f>
        <v>0</v>
      </c>
      <c r="O26" s="178">
        <f>ROUNDDOWN(N26,0)</f>
        <v>0</v>
      </c>
      <c r="P26" s="193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9.6" customHeight="1" x14ac:dyDescent="0.25">
      <c r="B27" s="11"/>
      <c r="C27" s="11"/>
      <c r="D27" s="11"/>
      <c r="E27" s="11"/>
      <c r="F27" s="11"/>
      <c r="G27" s="195"/>
      <c r="H27" s="11"/>
      <c r="I27" s="68"/>
      <c r="J27" s="14"/>
      <c r="K27" s="68"/>
      <c r="L27" s="14"/>
      <c r="M27" s="11"/>
      <c r="N27" s="178"/>
      <c r="O27" s="178"/>
      <c r="P27" s="193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ht="24.6" customHeight="1" x14ac:dyDescent="0.25">
      <c r="B28" s="11"/>
      <c r="C28" s="11" t="s">
        <v>16</v>
      </c>
      <c r="D28" s="11"/>
      <c r="E28" s="11"/>
      <c r="F28" s="11"/>
      <c r="G28" s="184">
        <f>IF(F4="",ROUNDUP(F9*12/7.87,0),ROUNDUP(F9/0.2,0))</f>
        <v>0</v>
      </c>
      <c r="H28" s="11" t="s">
        <v>21</v>
      </c>
      <c r="I28" s="20">
        <f>O28</f>
        <v>0</v>
      </c>
      <c r="J28" s="52" t="s">
        <v>14</v>
      </c>
      <c r="K28" s="20">
        <f>G28-(I28*60)</f>
        <v>0</v>
      </c>
      <c r="L28" s="11" t="s">
        <v>145</v>
      </c>
      <c r="M28" s="11"/>
      <c r="N28" s="193">
        <f>IF(F4="",(F9*12/7.87/60),(F9/0.2/60))</f>
        <v>0</v>
      </c>
      <c r="O28" s="178">
        <f>ROUNDDOWN(N28,0)</f>
        <v>0</v>
      </c>
      <c r="P28" s="193">
        <f>N28-O28</f>
        <v>0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ht="8.4499999999999993" customHeight="1" x14ac:dyDescent="0.25">
      <c r="B29" s="11"/>
      <c r="C29" s="11"/>
      <c r="D29" s="11"/>
      <c r="E29" s="11"/>
      <c r="F29" s="11"/>
      <c r="G29" s="11"/>
      <c r="H29" s="68"/>
      <c r="I29" s="11"/>
      <c r="J29" s="11"/>
      <c r="K29" s="11"/>
      <c r="L29" s="21"/>
      <c r="M29" s="11"/>
      <c r="N29" s="178"/>
      <c r="O29" s="178"/>
      <c r="P29" s="178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ht="21" customHeight="1" x14ac:dyDescent="0.25">
      <c r="B30" s="11"/>
      <c r="C30" s="11" t="s">
        <v>35</v>
      </c>
      <c r="D30" s="11"/>
      <c r="E30" s="11"/>
      <c r="F30" s="11"/>
      <c r="G30" s="17">
        <f>IF(F4="",ROUNDUP(F13*0.25,0),ROUNDUP(F13*0.5*0.15,0))</f>
        <v>0</v>
      </c>
      <c r="H30" s="11" t="str">
        <f>IF(F$4="","pi³","m³")</f>
        <v>pi³</v>
      </c>
      <c r="I30" s="11"/>
      <c r="J30" s="11"/>
      <c r="K30" s="11"/>
      <c r="L30" s="21"/>
      <c r="M30" s="11"/>
      <c r="N30" s="178"/>
      <c r="O30" s="178"/>
      <c r="P30" s="178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21"/>
      <c r="M31" s="11"/>
      <c r="N31" s="178"/>
      <c r="O31" s="178"/>
      <c r="P31" s="178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11"/>
      <c r="C32" s="44" t="s">
        <v>5</v>
      </c>
      <c r="D32" s="48">
        <v>1</v>
      </c>
      <c r="E32" s="53" t="s">
        <v>4</v>
      </c>
      <c r="F32" s="11"/>
      <c r="G32" s="11"/>
      <c r="H32" s="11"/>
      <c r="I32" s="11"/>
      <c r="J32" s="11"/>
      <c r="K32" s="11"/>
      <c r="L32" s="21"/>
      <c r="M32" s="11"/>
      <c r="N32" s="178"/>
      <c r="O32" s="178"/>
      <c r="P32" s="178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44"/>
      <c r="D33" s="48">
        <v>2</v>
      </c>
      <c r="E33" s="54" t="s">
        <v>128</v>
      </c>
      <c r="F33" s="11"/>
      <c r="G33" s="11"/>
      <c r="H33" s="11"/>
      <c r="I33" s="11"/>
      <c r="J33" s="11"/>
      <c r="K33" s="11"/>
      <c r="L33" s="21"/>
      <c r="M33" s="11"/>
      <c r="N33" s="178"/>
      <c r="O33" s="178"/>
      <c r="P33" s="178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1"/>
      <c r="C34" s="44"/>
      <c r="D34" s="48"/>
      <c r="E34" s="55" t="s">
        <v>134</v>
      </c>
      <c r="F34" s="11"/>
      <c r="G34" s="11"/>
      <c r="H34" s="11"/>
      <c r="I34" s="11"/>
      <c r="J34" s="11"/>
      <c r="K34" s="11"/>
      <c r="L34" s="21"/>
      <c r="M34" s="11"/>
      <c r="N34" s="178"/>
      <c r="O34" s="178"/>
      <c r="P34" s="178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44"/>
      <c r="D35" s="48">
        <v>3</v>
      </c>
      <c r="E35" s="55" t="s">
        <v>129</v>
      </c>
      <c r="F35" s="11"/>
      <c r="G35" s="11"/>
      <c r="H35" s="11"/>
      <c r="I35" s="11"/>
      <c r="J35" s="11"/>
      <c r="K35" s="11"/>
      <c r="L35" s="21"/>
      <c r="M35" s="11"/>
      <c r="N35" s="178"/>
      <c r="O35" s="178"/>
      <c r="P35" s="178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11"/>
      <c r="C36" s="44"/>
      <c r="D36" s="48">
        <v>4</v>
      </c>
      <c r="E36" s="55" t="s">
        <v>147</v>
      </c>
      <c r="F36" s="11"/>
      <c r="G36" s="11"/>
      <c r="H36" s="11"/>
      <c r="I36" s="11"/>
      <c r="J36" s="11"/>
      <c r="K36" s="11"/>
      <c r="L36" s="21"/>
      <c r="M36" s="11"/>
      <c r="N36" s="178"/>
      <c r="O36" s="178"/>
      <c r="P36" s="178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11"/>
      <c r="C37" s="44"/>
      <c r="D37" s="48">
        <v>5</v>
      </c>
      <c r="E37" s="55" t="s">
        <v>135</v>
      </c>
      <c r="F37" s="11"/>
      <c r="G37" s="11"/>
      <c r="H37" s="11"/>
      <c r="I37" s="11"/>
      <c r="J37" s="11"/>
      <c r="K37" s="11"/>
      <c r="L37" s="21"/>
      <c r="M37" s="11"/>
      <c r="N37" s="178"/>
      <c r="O37" s="178"/>
      <c r="P37" s="178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11"/>
      <c r="C38" s="44"/>
      <c r="D38" s="48">
        <v>6</v>
      </c>
      <c r="E38" s="55" t="s">
        <v>130</v>
      </c>
      <c r="F38" s="11"/>
      <c r="G38" s="11"/>
      <c r="H38" s="11"/>
      <c r="I38" s="11"/>
      <c r="J38" s="11"/>
      <c r="K38" s="11"/>
      <c r="L38" s="21"/>
      <c r="M38" s="11"/>
      <c r="N38" s="178"/>
      <c r="O38" s="178"/>
      <c r="P38" s="178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1"/>
      <c r="C39" s="44"/>
      <c r="D39" s="48">
        <v>7</v>
      </c>
      <c r="E39" s="53" t="s">
        <v>131</v>
      </c>
      <c r="F39" s="11"/>
      <c r="G39" s="11"/>
      <c r="H39" s="11"/>
      <c r="I39" s="11"/>
      <c r="J39" s="11"/>
      <c r="K39" s="11"/>
      <c r="L39" s="21"/>
      <c r="M39" s="11"/>
      <c r="N39" s="178"/>
      <c r="O39" s="178"/>
      <c r="P39" s="178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"/>
      <c r="C40" s="44"/>
      <c r="D40" s="48">
        <v>8</v>
      </c>
      <c r="E40" s="53" t="s">
        <v>132</v>
      </c>
      <c r="F40" s="4"/>
      <c r="G40" s="4"/>
      <c r="H40" s="4"/>
      <c r="I40" s="4"/>
      <c r="J40" s="4"/>
      <c r="K40" s="4"/>
      <c r="L40" s="22"/>
      <c r="M40" s="4"/>
    </row>
    <row r="41" spans="2:48" x14ac:dyDescent="0.25">
      <c r="B41" s="4"/>
      <c r="C41" s="44"/>
      <c r="D41" s="48"/>
      <c r="E41" s="55" t="s">
        <v>146</v>
      </c>
      <c r="F41" s="4"/>
      <c r="G41" s="4"/>
      <c r="H41" s="4"/>
      <c r="I41" s="4"/>
      <c r="J41" s="4"/>
      <c r="K41" s="4"/>
      <c r="L41" s="22"/>
      <c r="M41" s="4"/>
    </row>
    <row r="42" spans="2:48" x14ac:dyDescent="0.25">
      <c r="B42" s="4"/>
      <c r="C42" s="44"/>
      <c r="D42" s="48">
        <v>9</v>
      </c>
      <c r="E42" s="55" t="s">
        <v>133</v>
      </c>
      <c r="F42" s="4"/>
      <c r="G42" s="4"/>
      <c r="H42" s="4"/>
      <c r="I42" s="4"/>
      <c r="J42" s="4"/>
      <c r="K42" s="4"/>
      <c r="L42" s="22"/>
      <c r="M42" s="4"/>
    </row>
    <row r="43" spans="2:48" x14ac:dyDescent="0.25">
      <c r="B43" s="4"/>
      <c r="C43" s="44"/>
      <c r="D43" s="48">
        <v>10</v>
      </c>
      <c r="E43" s="45" t="s">
        <v>136</v>
      </c>
      <c r="F43" s="4"/>
      <c r="G43" s="4"/>
      <c r="H43" s="4"/>
      <c r="I43" s="4"/>
      <c r="J43" s="4"/>
      <c r="K43" s="4"/>
      <c r="L43" s="22"/>
      <c r="M43" s="4"/>
    </row>
    <row r="44" spans="2:48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22"/>
      <c r="M44" s="4"/>
    </row>
  </sheetData>
  <sheetProtection password="DD81" sheet="1" objects="1" scenarios="1" selectLockedCells="1"/>
  <mergeCells count="6">
    <mergeCell ref="O5:P5"/>
    <mergeCell ref="C1:L1"/>
    <mergeCell ref="C2:L2"/>
    <mergeCell ref="G7:J7"/>
    <mergeCell ref="M9:M15"/>
    <mergeCell ref="K10:K16"/>
  </mergeCells>
  <conditionalFormatting sqref="H6:K6 G7">
    <cfRule type="containsText" dxfId="1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91" fitToHeight="0" orientation="portrait" r:id="rId1"/>
  <headerFooter>
    <oddFooter>&amp;C&amp;G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AV43"/>
  <sheetViews>
    <sheetView showGridLines="0" zoomScaleNormal="100" zoomScaleSheetLayoutView="130" workbookViewId="0">
      <pane ySplit="2" topLeftCell="A3" activePane="bottomLeft" state="frozen"/>
      <selection activeCell="H11" sqref="H11"/>
      <selection pane="bottomLeft" activeCell="F4" sqref="F4"/>
    </sheetView>
  </sheetViews>
  <sheetFormatPr baseColWidth="10" defaultColWidth="11.5703125" defaultRowHeight="15" x14ac:dyDescent="0.25"/>
  <cols>
    <col min="1" max="1" width="11.5703125" style="2"/>
    <col min="2" max="2" width="2.7109375" style="2" customWidth="1"/>
    <col min="3" max="3" width="11.5703125" style="2"/>
    <col min="4" max="4" width="3.42578125" style="2" customWidth="1"/>
    <col min="5" max="5" width="16.42578125" style="2" customWidth="1"/>
    <col min="6" max="6" width="6" style="2" customWidth="1"/>
    <col min="7" max="7" width="8.42578125" style="2" customWidth="1"/>
    <col min="8" max="8" width="5.85546875" style="2" customWidth="1"/>
    <col min="9" max="9" width="7.28515625" style="2" customWidth="1"/>
    <col min="10" max="10" width="7.7109375" style="2" customWidth="1"/>
    <col min="11" max="11" width="7.5703125" style="2" customWidth="1"/>
    <col min="12" max="12" width="8.7109375" style="2" customWidth="1"/>
    <col min="13" max="13" width="12.5703125" style="3" customWidth="1"/>
    <col min="14" max="16" width="6.28515625" style="178" customWidth="1"/>
    <col min="17" max="48" width="11.5703125" style="6"/>
    <col min="49" max="16384" width="11.5703125" style="2"/>
  </cols>
  <sheetData>
    <row r="1" spans="2:48" s="202" customFormat="1" ht="25.9" customHeight="1" x14ac:dyDescent="0.25">
      <c r="B1" s="203"/>
      <c r="C1" s="217" t="s">
        <v>22</v>
      </c>
      <c r="D1" s="217"/>
      <c r="E1" s="217"/>
      <c r="F1" s="217"/>
      <c r="G1" s="217"/>
      <c r="H1" s="217"/>
      <c r="I1" s="217"/>
      <c r="J1" s="217"/>
      <c r="K1" s="217"/>
      <c r="L1" s="217"/>
      <c r="M1" s="204"/>
      <c r="N1" s="206"/>
      <c r="O1" s="206"/>
      <c r="P1" s="206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03"/>
      <c r="C2" s="217" t="s">
        <v>28</v>
      </c>
      <c r="D2" s="217"/>
      <c r="E2" s="217"/>
      <c r="F2" s="217"/>
      <c r="G2" s="217"/>
      <c r="H2" s="217"/>
      <c r="I2" s="217"/>
      <c r="J2" s="217"/>
      <c r="K2" s="217"/>
      <c r="L2" s="204"/>
      <c r="M2" s="205"/>
      <c r="N2" s="206"/>
      <c r="O2" s="206"/>
      <c r="P2" s="206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56.45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68"/>
      <c r="N3" s="178"/>
      <c r="O3" s="178"/>
      <c r="P3" s="178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x14ac:dyDescent="0.25">
      <c r="B4" s="11"/>
      <c r="C4" s="11"/>
      <c r="D4" s="11"/>
      <c r="E4" s="13" t="s">
        <v>12</v>
      </c>
      <c r="F4" s="190"/>
      <c r="G4" s="14" t="s">
        <v>123</v>
      </c>
      <c r="H4" s="11"/>
      <c r="I4" s="11"/>
      <c r="J4" s="11"/>
      <c r="K4" s="11"/>
      <c r="L4" s="11"/>
      <c r="M4" s="68"/>
      <c r="N4" s="178"/>
      <c r="O4" s="178"/>
      <c r="P4" s="178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11"/>
      <c r="C5" s="11"/>
      <c r="D5" s="11"/>
      <c r="E5" s="11"/>
      <c r="F5" s="196"/>
      <c r="G5" s="11"/>
      <c r="H5" s="11"/>
      <c r="I5" s="11"/>
      <c r="J5" s="11"/>
      <c r="K5" s="11"/>
      <c r="L5" s="11"/>
      <c r="M5" s="11"/>
      <c r="N5" s="178" t="s">
        <v>127</v>
      </c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x14ac:dyDescent="0.25">
      <c r="B6" s="11"/>
      <c r="C6" s="11" t="s">
        <v>1</v>
      </c>
      <c r="D6" s="11"/>
      <c r="E6" s="11"/>
      <c r="F6" s="188"/>
      <c r="G6" s="14" t="str">
        <f>IF(F$4="","po","m")</f>
        <v>po</v>
      </c>
      <c r="H6" s="39">
        <f>IF(F4="",(IF(N6&lt;P6+0.01,N6,P6)),(IF(N6&lt;O6+0.001,N6,O6)))</f>
        <v>0</v>
      </c>
      <c r="I6" s="40" t="str">
        <f>IF(F$4&gt;"","m","po")</f>
        <v>po</v>
      </c>
      <c r="J6" s="11"/>
      <c r="K6" s="11"/>
      <c r="L6" s="11"/>
      <c r="M6" s="11"/>
      <c r="N6" s="178">
        <f>IF(F4="",7*(ROUNDUP(F6/7,0)),0.18*(ROUNDUP(F6/0.18,0)))</f>
        <v>0</v>
      </c>
      <c r="O6" s="178">
        <v>0.63</v>
      </c>
      <c r="P6" s="178">
        <v>24.5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11"/>
      <c r="C7" s="11" t="s">
        <v>20</v>
      </c>
      <c r="D7" s="11"/>
      <c r="E7" s="11"/>
      <c r="F7" s="196"/>
      <c r="G7" s="227" t="str">
        <f>IF(F4="",(IF(F6&lt;(P6+0.01),"Hauteur ajustée au 7 po près","Hauteur maximale 24,5 po")),(IF(F6&lt;O6+0.001,"Hauteur ajustée au 0,18 m près","Hauteur maximale 0,62 m")))</f>
        <v>Hauteur ajustée au 7 po près</v>
      </c>
      <c r="H7" s="227"/>
      <c r="I7" s="227"/>
      <c r="J7" s="227"/>
      <c r="K7" s="11"/>
      <c r="L7" s="11"/>
      <c r="M7" s="11"/>
      <c r="N7" s="178"/>
      <c r="O7" s="178"/>
      <c r="P7" s="178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11"/>
      <c r="C8" s="11"/>
      <c r="D8" s="11"/>
      <c r="E8" s="11"/>
      <c r="F8" s="196"/>
      <c r="G8" s="11"/>
      <c r="H8" s="11"/>
      <c r="I8" s="11"/>
      <c r="J8" s="11"/>
      <c r="K8" s="11"/>
      <c r="L8" s="11"/>
      <c r="M8" s="68"/>
      <c r="N8" s="178"/>
      <c r="O8" s="178"/>
      <c r="P8" s="178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4.45" customHeight="1" x14ac:dyDescent="0.25">
      <c r="B9" s="11"/>
      <c r="C9" s="11" t="s">
        <v>2</v>
      </c>
      <c r="D9" s="11"/>
      <c r="E9" s="11"/>
      <c r="F9" s="190"/>
      <c r="G9" s="14" t="str">
        <f>IF(F$4="","pi","m")</f>
        <v>pi</v>
      </c>
      <c r="H9" s="11"/>
      <c r="I9" s="11"/>
      <c r="J9" s="11"/>
      <c r="K9" s="15"/>
      <c r="L9" s="11"/>
      <c r="M9" s="230"/>
      <c r="N9" s="178"/>
      <c r="O9" s="178"/>
      <c r="P9" s="178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11"/>
      <c r="C10" s="11"/>
      <c r="D10" s="11"/>
      <c r="E10" s="11"/>
      <c r="F10" s="196"/>
      <c r="G10" s="11"/>
      <c r="H10" s="11"/>
      <c r="I10" s="11"/>
      <c r="J10" s="11"/>
      <c r="K10" s="230"/>
      <c r="L10" s="11"/>
      <c r="M10" s="230"/>
      <c r="N10" s="178"/>
      <c r="O10" s="178"/>
      <c r="P10" s="178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4.45" customHeight="1" x14ac:dyDescent="0.25">
      <c r="B11" s="11"/>
      <c r="C11" s="11" t="s">
        <v>3</v>
      </c>
      <c r="D11" s="11"/>
      <c r="E11" s="11"/>
      <c r="F11" s="190"/>
      <c r="G11" s="14"/>
      <c r="H11" s="11"/>
      <c r="I11" s="11"/>
      <c r="J11" s="11"/>
      <c r="K11" s="230"/>
      <c r="L11" s="11"/>
      <c r="M11" s="230"/>
      <c r="N11" s="178"/>
      <c r="O11" s="178"/>
      <c r="P11" s="178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11"/>
      <c r="C12" s="11"/>
      <c r="D12" s="11"/>
      <c r="E12" s="11"/>
      <c r="F12" s="196"/>
      <c r="G12" s="11"/>
      <c r="H12" s="11"/>
      <c r="I12" s="11"/>
      <c r="J12" s="11"/>
      <c r="K12" s="230"/>
      <c r="L12" s="11"/>
      <c r="M12" s="230"/>
      <c r="N12" s="178"/>
      <c r="O12" s="178"/>
      <c r="P12" s="178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11"/>
      <c r="C13" s="11" t="s">
        <v>18</v>
      </c>
      <c r="D13" s="11"/>
      <c r="E13" s="11"/>
      <c r="F13" s="210">
        <f>IF(F4="",(F9*(H6+3.5)/12),((H6+0.09)*F9))*2</f>
        <v>0</v>
      </c>
      <c r="G13" s="14" t="str">
        <f>IF(F$4="","pi²","m²")</f>
        <v>pi²</v>
      </c>
      <c r="H13" s="11"/>
      <c r="I13" s="16"/>
      <c r="J13" s="11"/>
      <c r="K13" s="230"/>
      <c r="L13" s="11"/>
      <c r="M13" s="230"/>
      <c r="N13" s="178"/>
      <c r="O13" s="178"/>
      <c r="P13" s="178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11"/>
      <c r="C14" s="11" t="s">
        <v>13</v>
      </c>
      <c r="D14" s="11"/>
      <c r="E14" s="11"/>
      <c r="F14" s="11"/>
      <c r="G14" s="11"/>
      <c r="H14" s="11"/>
      <c r="I14" s="11"/>
      <c r="J14" s="11"/>
      <c r="K14" s="230"/>
      <c r="L14" s="11"/>
      <c r="M14" s="230"/>
      <c r="N14" s="178"/>
      <c r="O14" s="178"/>
      <c r="P14" s="178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230"/>
      <c r="L15" s="11"/>
      <c r="M15" s="230"/>
      <c r="N15" s="178"/>
      <c r="O15" s="178"/>
      <c r="P15" s="178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11"/>
      <c r="C16" s="60" t="s">
        <v>6</v>
      </c>
      <c r="D16" s="61"/>
      <c r="E16" s="62"/>
      <c r="F16" s="62"/>
      <c r="G16" s="62"/>
      <c r="H16" s="62"/>
      <c r="I16" s="62"/>
      <c r="J16" s="62"/>
      <c r="K16" s="230"/>
      <c r="L16" s="11"/>
      <c r="M16" s="68"/>
      <c r="N16" s="178"/>
      <c r="O16" s="178"/>
      <c r="P16" s="178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11"/>
      <c r="C17" s="11"/>
      <c r="D17" s="11"/>
      <c r="E17" s="11"/>
      <c r="F17" s="11"/>
      <c r="G17" s="68"/>
      <c r="H17" s="11"/>
      <c r="I17" s="68"/>
      <c r="J17" s="11"/>
      <c r="K17" s="11"/>
      <c r="L17" s="11"/>
      <c r="M17" s="68"/>
      <c r="N17" s="178" t="s">
        <v>14</v>
      </c>
      <c r="O17" s="178" t="s">
        <v>117</v>
      </c>
      <c r="P17" s="178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4.6" customHeight="1" x14ac:dyDescent="0.25">
      <c r="B18" s="11"/>
      <c r="C18" s="11" t="s">
        <v>33</v>
      </c>
      <c r="D18" s="11"/>
      <c r="E18" s="11"/>
      <c r="F18" s="11"/>
      <c r="G18" s="183">
        <f>IF(F4="",(I18*54.52)+(K18*5.45),(I18*5.45)+(K18*0.5))</f>
        <v>0</v>
      </c>
      <c r="H18" s="11" t="str">
        <f>IF(F$4="","pi²","m²")</f>
        <v>pi²</v>
      </c>
      <c r="I18" s="184">
        <f>IF(P18&gt;0.901,O18+1,O18)</f>
        <v>0</v>
      </c>
      <c r="J18" s="11" t="s">
        <v>14</v>
      </c>
      <c r="K18" s="184">
        <f>IF(P18&gt;0.9,0,ROUNDUP(P18/0.1,0))</f>
        <v>0</v>
      </c>
      <c r="L18" s="11" t="s">
        <v>162</v>
      </c>
      <c r="M18" s="11"/>
      <c r="N18" s="193">
        <f>IF(F4="",(F13/54.5),(F13/5.06))</f>
        <v>0</v>
      </c>
      <c r="O18" s="178">
        <f>ROUNDDOWN(N18,0)</f>
        <v>0</v>
      </c>
      <c r="P18" s="193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11"/>
      <c r="C19" s="11"/>
      <c r="D19" s="11"/>
      <c r="E19" s="11"/>
      <c r="F19" s="11"/>
      <c r="G19" s="195"/>
      <c r="H19" s="11"/>
      <c r="I19" s="196"/>
      <c r="J19" s="14"/>
      <c r="K19" s="186"/>
      <c r="L19" s="11"/>
      <c r="M19" s="11"/>
      <c r="N19" s="178"/>
      <c r="O19" s="178"/>
      <c r="P19" s="178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4.6" customHeight="1" x14ac:dyDescent="0.25">
      <c r="B20" s="11"/>
      <c r="C20" s="19" t="s">
        <v>23</v>
      </c>
      <c r="D20" s="19"/>
      <c r="E20" s="11"/>
      <c r="F20" s="11"/>
      <c r="G20" s="184">
        <f>IF(F4="",G18*2.5,G18*27)/2</f>
        <v>0</v>
      </c>
      <c r="H20" s="11" t="s">
        <v>21</v>
      </c>
      <c r="I20" s="185">
        <f>ROUNDUP(G20/50,0)</f>
        <v>0</v>
      </c>
      <c r="J20" s="14" t="s">
        <v>31</v>
      </c>
      <c r="K20" s="186"/>
      <c r="L20" s="11"/>
      <c r="M20" s="11"/>
      <c r="N20" s="178"/>
      <c r="O20" s="178"/>
      <c r="P20" s="178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11"/>
      <c r="C21" s="19"/>
      <c r="D21" s="19"/>
      <c r="E21" s="11"/>
      <c r="F21" s="11"/>
      <c r="G21" s="196"/>
      <c r="H21" s="11"/>
      <c r="I21" s="196"/>
      <c r="J21" s="14"/>
      <c r="K21" s="186"/>
      <c r="L21" s="11"/>
      <c r="M21" s="11"/>
      <c r="N21" s="178"/>
      <c r="O21" s="178"/>
      <c r="P21" s="178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4.6" customHeight="1" x14ac:dyDescent="0.25">
      <c r="B22" s="11"/>
      <c r="C22" s="11" t="s">
        <v>24</v>
      </c>
      <c r="D22" s="11"/>
      <c r="E22" s="11"/>
      <c r="F22" s="11"/>
      <c r="G22" s="184">
        <f>IF(F4="",(((H6+7)/7)*F11),((H6+0.18)/0.18)*F11)</f>
        <v>0</v>
      </c>
      <c r="H22" s="11" t="s">
        <v>21</v>
      </c>
      <c r="I22" s="185">
        <f>ROUNDUP(G22/50,0)</f>
        <v>0</v>
      </c>
      <c r="J22" s="14" t="s">
        <v>31</v>
      </c>
      <c r="K22" s="186"/>
      <c r="L22" s="11"/>
      <c r="M22" s="11"/>
      <c r="N22" s="178"/>
      <c r="O22" s="178"/>
      <c r="P22" s="17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11"/>
      <c r="C23" s="11"/>
      <c r="D23" s="11"/>
      <c r="E23" s="11"/>
      <c r="F23" s="11"/>
      <c r="G23" s="196"/>
      <c r="H23" s="11"/>
      <c r="I23" s="196"/>
      <c r="J23" s="14"/>
      <c r="K23" s="196"/>
      <c r="L23" s="68"/>
      <c r="M23" s="11"/>
      <c r="N23" s="178"/>
      <c r="O23" s="178"/>
      <c r="P23" s="178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4.6" customHeight="1" x14ac:dyDescent="0.25">
      <c r="B24" s="11"/>
      <c r="C24" s="11" t="s">
        <v>32</v>
      </c>
      <c r="D24" s="11"/>
      <c r="E24" s="11"/>
      <c r="F24" s="11"/>
      <c r="G24" s="184">
        <f>IF(F4="",ROUNDUP(F9*12/42,0),ROUNDUP(F9/1.067,0))</f>
        <v>0</v>
      </c>
      <c r="H24" s="11" t="s">
        <v>21</v>
      </c>
      <c r="I24" s="184">
        <f>O24</f>
        <v>0</v>
      </c>
      <c r="J24" s="52" t="s">
        <v>14</v>
      </c>
      <c r="K24" s="184">
        <f>G24-(I24*17)</f>
        <v>0</v>
      </c>
      <c r="L24" s="11" t="s">
        <v>145</v>
      </c>
      <c r="M24" s="68"/>
      <c r="N24" s="193">
        <f>IF(F4="",(F9*12/42/17),(F9/1.067/17))</f>
        <v>0</v>
      </c>
      <c r="O24" s="178">
        <f>ROUNDDOWN(N24,0)</f>
        <v>0</v>
      </c>
      <c r="P24" s="193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11"/>
      <c r="C25" s="11"/>
      <c r="D25" s="11"/>
      <c r="E25" s="11"/>
      <c r="F25" s="11"/>
      <c r="G25" s="195"/>
      <c r="H25" s="11"/>
      <c r="I25" s="196"/>
      <c r="J25" s="14"/>
      <c r="K25" s="196"/>
      <c r="L25" s="14"/>
      <c r="M25" s="68"/>
      <c r="N25" s="178"/>
      <c r="O25" s="178"/>
      <c r="P25" s="193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4.6" customHeight="1" x14ac:dyDescent="0.25">
      <c r="B26" s="11"/>
      <c r="C26" s="11" t="s">
        <v>16</v>
      </c>
      <c r="D26" s="11"/>
      <c r="E26" s="11"/>
      <c r="F26" s="11"/>
      <c r="G26" s="184">
        <f>IF(F4="",ROUNDUP(F9*12/7.87,0),ROUNDUP(F9/0.2,0))</f>
        <v>0</v>
      </c>
      <c r="H26" s="11" t="s">
        <v>21</v>
      </c>
      <c r="I26" s="184">
        <f>O26</f>
        <v>0</v>
      </c>
      <c r="J26" s="52" t="s">
        <v>14</v>
      </c>
      <c r="K26" s="184">
        <f>G26-(I26*60)</f>
        <v>0</v>
      </c>
      <c r="L26" s="11" t="s">
        <v>145</v>
      </c>
      <c r="M26" s="68"/>
      <c r="N26" s="193">
        <f>IF(F4="",(F9*12/7.87/60),(F9/0.2/60))</f>
        <v>0</v>
      </c>
      <c r="O26" s="178">
        <f>ROUNDDOWN(N26,0)</f>
        <v>0</v>
      </c>
      <c r="P26" s="193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9" customHeight="1" x14ac:dyDescent="0.25">
      <c r="B27" s="11"/>
      <c r="C27" s="11"/>
      <c r="D27" s="11"/>
      <c r="E27" s="11"/>
      <c r="F27" s="11"/>
      <c r="G27" s="186"/>
      <c r="H27" s="68"/>
      <c r="I27" s="11"/>
      <c r="J27" s="11"/>
      <c r="K27" s="11"/>
      <c r="L27" s="11"/>
      <c r="M27" s="68"/>
      <c r="N27" s="178"/>
      <c r="O27" s="178"/>
      <c r="P27" s="178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11"/>
      <c r="C28" s="11" t="s">
        <v>35</v>
      </c>
      <c r="D28" s="11"/>
      <c r="E28" s="11"/>
      <c r="F28" s="11"/>
      <c r="G28" s="183">
        <f>IF(F4="",ROUNDUP(F13*7/12/2,0),ROUNDUP(F13*(7/12)*0.15,0))</f>
        <v>0</v>
      </c>
      <c r="H28" s="11" t="str">
        <f>IF(F$4="","pi³","m³")</f>
        <v>pi³</v>
      </c>
      <c r="I28" s="68"/>
      <c r="J28" s="14"/>
      <c r="K28" s="11"/>
      <c r="L28" s="11"/>
      <c r="M28" s="68"/>
      <c r="N28" s="178"/>
      <c r="O28" s="178"/>
      <c r="P28" s="178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68"/>
      <c r="N29" s="178"/>
      <c r="O29" s="178"/>
      <c r="P29" s="178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11"/>
      <c r="C30" s="44" t="s">
        <v>5</v>
      </c>
      <c r="D30" s="48">
        <v>1</v>
      </c>
      <c r="E30" s="53" t="s">
        <v>4</v>
      </c>
      <c r="F30" s="11"/>
      <c r="G30" s="11"/>
      <c r="H30" s="11"/>
      <c r="I30" s="11"/>
      <c r="J30" s="11"/>
      <c r="K30" s="11"/>
      <c r="L30" s="11"/>
      <c r="M30" s="68"/>
      <c r="N30" s="178"/>
      <c r="O30" s="178"/>
      <c r="P30" s="178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44"/>
      <c r="D31" s="48">
        <v>2</v>
      </c>
      <c r="E31" s="54" t="s">
        <v>128</v>
      </c>
      <c r="F31" s="11"/>
      <c r="G31" s="11"/>
      <c r="H31" s="11"/>
      <c r="I31" s="11"/>
      <c r="J31" s="11"/>
      <c r="K31" s="11"/>
      <c r="L31" s="11"/>
      <c r="M31" s="68"/>
      <c r="N31" s="178"/>
      <c r="O31" s="178"/>
      <c r="P31" s="178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11"/>
      <c r="C32" s="44"/>
      <c r="D32" s="48"/>
      <c r="E32" s="55" t="s">
        <v>134</v>
      </c>
      <c r="F32" s="11"/>
      <c r="G32" s="11"/>
      <c r="H32" s="11"/>
      <c r="I32" s="11"/>
      <c r="J32" s="11"/>
      <c r="K32" s="11"/>
      <c r="L32" s="11"/>
      <c r="M32" s="68"/>
      <c r="N32" s="178"/>
      <c r="O32" s="178"/>
      <c r="P32" s="178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44"/>
      <c r="D33" s="48">
        <v>3</v>
      </c>
      <c r="E33" s="55" t="s">
        <v>165</v>
      </c>
      <c r="F33" s="11"/>
      <c r="G33" s="11"/>
      <c r="H33" s="11"/>
      <c r="I33" s="11"/>
      <c r="J33" s="11"/>
      <c r="K33" s="11"/>
      <c r="L33" s="11"/>
      <c r="M33" s="68"/>
      <c r="N33" s="178"/>
      <c r="O33" s="178"/>
      <c r="P33" s="178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1"/>
      <c r="C34" s="44"/>
      <c r="D34" s="48">
        <v>4</v>
      </c>
      <c r="E34" s="55" t="s">
        <v>164</v>
      </c>
      <c r="F34" s="11"/>
      <c r="G34" s="11"/>
      <c r="H34" s="11"/>
      <c r="I34" s="11"/>
      <c r="J34" s="11"/>
      <c r="K34" s="11"/>
      <c r="L34" s="11"/>
      <c r="M34" s="68"/>
      <c r="N34" s="178"/>
      <c r="O34" s="178"/>
      <c r="P34" s="178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44"/>
      <c r="D35" s="48">
        <v>5</v>
      </c>
      <c r="E35" s="55" t="s">
        <v>135</v>
      </c>
      <c r="F35" s="11"/>
      <c r="G35" s="11"/>
      <c r="H35" s="11"/>
      <c r="I35" s="11"/>
      <c r="J35" s="11"/>
      <c r="K35" s="11"/>
      <c r="L35" s="11"/>
      <c r="M35" s="68"/>
      <c r="N35" s="178"/>
      <c r="O35" s="178"/>
      <c r="P35" s="178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11"/>
      <c r="C36" s="44"/>
      <c r="D36" s="48">
        <v>6</v>
      </c>
      <c r="E36" s="55" t="s">
        <v>130</v>
      </c>
      <c r="F36" s="11"/>
      <c r="G36" s="11"/>
      <c r="H36" s="11"/>
      <c r="I36" s="11"/>
      <c r="J36" s="11"/>
      <c r="K36" s="11"/>
      <c r="L36" s="11"/>
      <c r="M36" s="68"/>
      <c r="N36" s="178"/>
      <c r="O36" s="178"/>
      <c r="P36" s="178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11"/>
      <c r="C37" s="44"/>
      <c r="D37" s="48">
        <v>7</v>
      </c>
      <c r="E37" s="53" t="s">
        <v>131</v>
      </c>
      <c r="F37" s="11"/>
      <c r="G37" s="11"/>
      <c r="H37" s="11"/>
      <c r="I37" s="11"/>
      <c r="J37" s="11"/>
      <c r="K37" s="11"/>
      <c r="L37" s="11"/>
      <c r="M37" s="68"/>
      <c r="N37" s="178"/>
      <c r="O37" s="178"/>
      <c r="P37" s="178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11"/>
      <c r="C38" s="44"/>
      <c r="D38" s="48">
        <v>8</v>
      </c>
      <c r="E38" s="53" t="s">
        <v>132</v>
      </c>
      <c r="F38" s="11"/>
      <c r="G38" s="11"/>
      <c r="H38" s="11"/>
      <c r="I38" s="11"/>
      <c r="J38" s="11"/>
      <c r="K38" s="11"/>
      <c r="L38" s="11"/>
      <c r="M38" s="68"/>
      <c r="N38" s="178"/>
      <c r="O38" s="178"/>
      <c r="P38" s="178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1"/>
      <c r="C39" s="44"/>
      <c r="D39" s="48"/>
      <c r="E39" s="55" t="s">
        <v>146</v>
      </c>
      <c r="F39" s="11"/>
      <c r="G39" s="11"/>
      <c r="H39" s="11"/>
      <c r="I39" s="11"/>
      <c r="J39" s="11"/>
      <c r="K39" s="11"/>
      <c r="L39" s="11"/>
      <c r="M39" s="68"/>
      <c r="N39" s="178"/>
      <c r="O39" s="178"/>
      <c r="P39" s="178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"/>
      <c r="C40" s="44"/>
      <c r="D40" s="48">
        <v>9</v>
      </c>
      <c r="E40" s="55" t="s">
        <v>133</v>
      </c>
      <c r="F40" s="4"/>
      <c r="G40" s="4"/>
      <c r="H40" s="4"/>
      <c r="I40" s="4"/>
      <c r="J40" s="4"/>
      <c r="K40" s="4"/>
      <c r="L40" s="4"/>
      <c r="M40" s="5"/>
    </row>
    <row r="41" spans="2:48" x14ac:dyDescent="0.25">
      <c r="B41" s="4"/>
      <c r="C41" s="44"/>
      <c r="D41" s="48">
        <v>10</v>
      </c>
      <c r="E41" s="45" t="s">
        <v>136</v>
      </c>
      <c r="F41" s="4"/>
      <c r="G41" s="4"/>
      <c r="H41" s="4"/>
      <c r="I41" s="4"/>
      <c r="J41" s="4"/>
      <c r="K41" s="4"/>
      <c r="L41" s="4"/>
      <c r="M41" s="5"/>
    </row>
    <row r="42" spans="2:48" x14ac:dyDescent="0.25">
      <c r="B42" s="4"/>
      <c r="C42" s="4"/>
      <c r="D42" s="5"/>
      <c r="E42" s="4"/>
      <c r="F42" s="4"/>
      <c r="G42" s="4"/>
      <c r="H42" s="4"/>
      <c r="I42" s="4"/>
      <c r="J42" s="4"/>
      <c r="K42" s="4"/>
      <c r="L42" s="4"/>
      <c r="M42" s="5"/>
    </row>
    <row r="43" spans="2:48" x14ac:dyDescent="0.25">
      <c r="D43" s="3"/>
    </row>
  </sheetData>
  <sheetProtection password="DD81" sheet="1" objects="1" scenarios="1" selectLockedCells="1"/>
  <mergeCells count="6">
    <mergeCell ref="O5:P5"/>
    <mergeCell ref="C1:L1"/>
    <mergeCell ref="G7:J7"/>
    <mergeCell ref="C2:K2"/>
    <mergeCell ref="M9:M15"/>
    <mergeCell ref="K10:K16"/>
  </mergeCells>
  <conditionalFormatting sqref="H6:K6 G7">
    <cfRule type="containsText" dxfId="0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93" fitToHeight="0" orientation="portrait" r:id="rId1"/>
  <headerFooter>
    <oddFooter>&amp;C&amp;G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32"/>
  <sheetViews>
    <sheetView topLeftCell="A10" workbookViewId="0">
      <selection activeCell="G17" sqref="G17"/>
    </sheetView>
  </sheetViews>
  <sheetFormatPr baseColWidth="10" defaultColWidth="11.5703125" defaultRowHeight="15" x14ac:dyDescent="0.25"/>
  <cols>
    <col min="1" max="1" width="3.5703125" style="69" customWidth="1"/>
    <col min="2" max="6" width="9.5703125" style="69" customWidth="1"/>
    <col min="7" max="7" width="18.28515625" style="69" bestFit="1" customWidth="1"/>
    <col min="8" max="8" width="22" style="69" customWidth="1"/>
    <col min="9" max="9" width="9.5703125" style="69" customWidth="1"/>
    <col min="10" max="10" width="18.28515625" style="69" bestFit="1" customWidth="1"/>
    <col min="11" max="11" width="9.5703125" style="69" customWidth="1"/>
    <col min="12" max="16384" width="11.5703125" style="69"/>
  </cols>
  <sheetData>
    <row r="1" spans="1:11" ht="18.75" x14ac:dyDescent="0.25">
      <c r="B1" s="70" t="s">
        <v>47</v>
      </c>
    </row>
    <row r="2" spans="1:11" x14ac:dyDescent="0.25">
      <c r="B2" s="71">
        <v>2</v>
      </c>
      <c r="C2" s="71">
        <v>3</v>
      </c>
      <c r="D2" s="71">
        <v>4</v>
      </c>
      <c r="E2" s="71">
        <v>5</v>
      </c>
      <c r="F2" s="71">
        <v>6</v>
      </c>
      <c r="G2" s="71">
        <v>7</v>
      </c>
      <c r="H2" s="71">
        <v>8</v>
      </c>
      <c r="I2" s="71">
        <v>9</v>
      </c>
      <c r="J2" s="71">
        <v>10</v>
      </c>
      <c r="K2" s="71">
        <v>11</v>
      </c>
    </row>
    <row r="3" spans="1:11" x14ac:dyDescent="0.25">
      <c r="A3" s="72"/>
      <c r="B3" s="72" t="s">
        <v>91</v>
      </c>
      <c r="C3" s="72"/>
      <c r="D3" s="72"/>
      <c r="E3" s="72"/>
      <c r="F3" s="72"/>
      <c r="G3" s="72"/>
      <c r="H3" s="72"/>
      <c r="I3" s="72"/>
      <c r="J3" s="72"/>
      <c r="K3" s="72"/>
    </row>
    <row r="5" spans="1:11" x14ac:dyDescent="0.25">
      <c r="B5" s="232" t="s">
        <v>90</v>
      </c>
      <c r="C5" s="233"/>
      <c r="D5" s="232" t="s">
        <v>36</v>
      </c>
      <c r="E5" s="233"/>
      <c r="G5" s="73"/>
      <c r="H5" s="71"/>
      <c r="I5" s="73" t="s">
        <v>50</v>
      </c>
      <c r="J5" s="71" t="s">
        <v>51</v>
      </c>
      <c r="K5" s="74"/>
    </row>
    <row r="6" spans="1:11" x14ac:dyDescent="0.25">
      <c r="A6" s="75"/>
      <c r="B6" s="76" t="s">
        <v>52</v>
      </c>
      <c r="C6" s="77" t="s">
        <v>53</v>
      </c>
      <c r="D6" s="76" t="s">
        <v>54</v>
      </c>
      <c r="E6" s="77" t="s">
        <v>55</v>
      </c>
      <c r="F6" s="78" t="s">
        <v>49</v>
      </c>
      <c r="G6" s="79" t="s">
        <v>46</v>
      </c>
      <c r="H6" s="78" t="s">
        <v>37</v>
      </c>
      <c r="I6" s="79" t="s">
        <v>50</v>
      </c>
      <c r="J6" s="78" t="s">
        <v>56</v>
      </c>
      <c r="K6" s="79" t="s">
        <v>50</v>
      </c>
    </row>
    <row r="7" spans="1:11" x14ac:dyDescent="0.25">
      <c r="A7" s="69">
        <v>1</v>
      </c>
      <c r="B7" s="80">
        <f t="shared" ref="B7:B12" si="0">C7/25.4</f>
        <v>35.433070866141733</v>
      </c>
      <c r="C7" s="81">
        <v>900</v>
      </c>
      <c r="D7" s="80">
        <f t="shared" ref="D7:D12" si="1">E7*10.765</f>
        <v>25.965180000000004</v>
      </c>
      <c r="E7" s="82">
        <f>(4*0.67)*0.9</f>
        <v>2.4120000000000004</v>
      </c>
      <c r="F7" s="71">
        <v>10</v>
      </c>
      <c r="G7" s="73" t="s">
        <v>57</v>
      </c>
      <c r="H7" s="71" t="s">
        <v>57</v>
      </c>
      <c r="I7" s="73">
        <v>1</v>
      </c>
      <c r="J7" s="71" t="s">
        <v>58</v>
      </c>
      <c r="K7" s="73">
        <v>1</v>
      </c>
    </row>
    <row r="8" spans="1:11" x14ac:dyDescent="0.25">
      <c r="A8" s="69">
        <v>2</v>
      </c>
      <c r="B8" s="80">
        <f t="shared" si="0"/>
        <v>42.519685039370081</v>
      </c>
      <c r="C8" s="81">
        <v>1080</v>
      </c>
      <c r="D8" s="80">
        <f t="shared" si="1"/>
        <v>31.158216000000007</v>
      </c>
      <c r="E8" s="82">
        <f>(4*0.67)*1.08</f>
        <v>2.8944000000000005</v>
      </c>
      <c r="F8" s="71">
        <v>12</v>
      </c>
      <c r="G8" s="73" t="s">
        <v>59</v>
      </c>
      <c r="H8" s="71" t="s">
        <v>59</v>
      </c>
      <c r="I8" s="73">
        <v>1</v>
      </c>
      <c r="J8" s="71" t="s">
        <v>60</v>
      </c>
      <c r="K8" s="73">
        <v>1</v>
      </c>
    </row>
    <row r="9" spans="1:11" x14ac:dyDescent="0.25">
      <c r="A9" s="69">
        <v>3</v>
      </c>
      <c r="B9" s="80">
        <f t="shared" si="0"/>
        <v>49.606299212598429</v>
      </c>
      <c r="C9" s="81">
        <v>1260</v>
      </c>
      <c r="D9" s="80">
        <f t="shared" si="1"/>
        <v>36.351252000000002</v>
      </c>
      <c r="E9" s="82">
        <f>(4*0.67)*1.26</f>
        <v>3.3768000000000002</v>
      </c>
      <c r="F9" s="71">
        <v>14</v>
      </c>
      <c r="G9" s="73" t="s">
        <v>61</v>
      </c>
      <c r="H9" s="71" t="s">
        <v>61</v>
      </c>
      <c r="I9" s="73">
        <v>1.2</v>
      </c>
      <c r="J9" s="71" t="s">
        <v>62</v>
      </c>
      <c r="K9" s="73">
        <v>1.2</v>
      </c>
    </row>
    <row r="10" spans="1:11" x14ac:dyDescent="0.25">
      <c r="A10" s="69">
        <v>4</v>
      </c>
      <c r="B10" s="80">
        <f t="shared" si="0"/>
        <v>35.433070866141733</v>
      </c>
      <c r="C10" s="81">
        <v>900</v>
      </c>
      <c r="D10" s="80">
        <f t="shared" si="1"/>
        <v>28.561698</v>
      </c>
      <c r="E10" s="82">
        <f>(4*0.737)*0.9</f>
        <v>2.6532</v>
      </c>
      <c r="F10" s="71">
        <v>10</v>
      </c>
      <c r="G10" s="73" t="s">
        <v>63</v>
      </c>
      <c r="H10" s="71" t="s">
        <v>63</v>
      </c>
      <c r="I10" s="73">
        <v>1.33</v>
      </c>
      <c r="J10" s="71" t="s">
        <v>64</v>
      </c>
      <c r="K10" s="73">
        <v>1</v>
      </c>
    </row>
    <row r="11" spans="1:11" x14ac:dyDescent="0.25">
      <c r="A11" s="69">
        <v>5</v>
      </c>
      <c r="B11" s="80">
        <f t="shared" si="0"/>
        <v>42.519685039370081</v>
      </c>
      <c r="C11" s="81">
        <v>1080</v>
      </c>
      <c r="D11" s="80">
        <f t="shared" si="1"/>
        <v>34.2740376</v>
      </c>
      <c r="E11" s="82">
        <f>(4*0.737)*1.08</f>
        <v>3.18384</v>
      </c>
      <c r="F11" s="71">
        <v>12</v>
      </c>
      <c r="G11" s="73" t="s">
        <v>65</v>
      </c>
      <c r="H11" s="71" t="s">
        <v>65</v>
      </c>
      <c r="I11" s="73">
        <v>1.33</v>
      </c>
      <c r="J11" s="71" t="s">
        <v>66</v>
      </c>
      <c r="K11" s="73">
        <v>1</v>
      </c>
    </row>
    <row r="12" spans="1:11" x14ac:dyDescent="0.25">
      <c r="A12" s="69">
        <v>6</v>
      </c>
      <c r="B12" s="80">
        <f t="shared" si="0"/>
        <v>49.606299212598429</v>
      </c>
      <c r="C12" s="81">
        <v>1260</v>
      </c>
      <c r="D12" s="80">
        <f t="shared" si="1"/>
        <v>39.9863772</v>
      </c>
      <c r="E12" s="82">
        <f>(4*0.737)*1.26</f>
        <v>3.71448</v>
      </c>
      <c r="F12" s="71">
        <v>14</v>
      </c>
      <c r="G12" s="73" t="s">
        <v>67</v>
      </c>
      <c r="H12" s="71" t="s">
        <v>67</v>
      </c>
      <c r="I12" s="73">
        <v>1.67</v>
      </c>
      <c r="J12" s="71" t="s">
        <v>68</v>
      </c>
      <c r="K12" s="73">
        <v>1</v>
      </c>
    </row>
    <row r="14" spans="1:11" x14ac:dyDescent="0.25">
      <c r="A14" s="72"/>
      <c r="B14" s="72" t="s">
        <v>92</v>
      </c>
      <c r="C14" s="72"/>
      <c r="D14" s="72"/>
      <c r="E14" s="72"/>
      <c r="F14" s="72"/>
      <c r="G14" s="72"/>
      <c r="H14" s="72"/>
      <c r="I14" s="72"/>
      <c r="J14" s="72"/>
      <c r="K14" s="72"/>
    </row>
    <row r="16" spans="1:11" x14ac:dyDescent="0.25">
      <c r="A16" s="69">
        <v>1</v>
      </c>
      <c r="B16" s="80">
        <f t="shared" ref="B16:B21" si="2">C16/25.4</f>
        <v>35.433070866141733</v>
      </c>
      <c r="C16" s="81">
        <v>900</v>
      </c>
      <c r="D16" s="83">
        <f t="shared" ref="D16:D21" si="3">E16*10.765</f>
        <v>28.561698</v>
      </c>
      <c r="E16" s="83">
        <f>(4*0.737)*0.9</f>
        <v>2.6532</v>
      </c>
      <c r="F16" s="73">
        <v>5</v>
      </c>
      <c r="G16" s="71" t="s">
        <v>69</v>
      </c>
      <c r="H16" s="73" t="s">
        <v>112</v>
      </c>
      <c r="I16" s="71">
        <v>2</v>
      </c>
      <c r="J16" s="73" t="s">
        <v>69</v>
      </c>
      <c r="K16" s="73">
        <v>1</v>
      </c>
    </row>
    <row r="17" spans="1:11" x14ac:dyDescent="0.25">
      <c r="A17" s="69">
        <v>2</v>
      </c>
      <c r="B17" s="80">
        <f t="shared" si="2"/>
        <v>42.519685039370081</v>
      </c>
      <c r="C17" s="81">
        <v>1080</v>
      </c>
      <c r="D17" s="83">
        <f t="shared" si="3"/>
        <v>34.2740376</v>
      </c>
      <c r="E17" s="83">
        <f>(4*0.737)*1.08</f>
        <v>3.18384</v>
      </c>
      <c r="F17" s="73">
        <v>6</v>
      </c>
      <c r="G17" s="71" t="s">
        <v>70</v>
      </c>
      <c r="H17" s="73" t="s">
        <v>113</v>
      </c>
      <c r="I17" s="71">
        <v>2.4</v>
      </c>
      <c r="J17" s="73" t="s">
        <v>70</v>
      </c>
      <c r="K17" s="73">
        <v>1.2</v>
      </c>
    </row>
    <row r="18" spans="1:11" x14ac:dyDescent="0.25">
      <c r="A18" s="69">
        <v>3</v>
      </c>
      <c r="B18" s="80">
        <f t="shared" si="2"/>
        <v>49.606299212598429</v>
      </c>
      <c r="C18" s="81">
        <v>1260</v>
      </c>
      <c r="D18" s="83">
        <f t="shared" si="3"/>
        <v>39.9863772</v>
      </c>
      <c r="E18" s="83">
        <f>(4*0.737)*1.26</f>
        <v>3.71448</v>
      </c>
      <c r="F18" s="73">
        <v>7</v>
      </c>
      <c r="G18" s="71" t="s">
        <v>71</v>
      </c>
      <c r="H18" s="73" t="s">
        <v>114</v>
      </c>
      <c r="I18" s="71">
        <v>2.8</v>
      </c>
      <c r="J18" s="73" t="s">
        <v>71</v>
      </c>
      <c r="K18" s="73">
        <v>1.4</v>
      </c>
    </row>
    <row r="19" spans="1:11" x14ac:dyDescent="0.25">
      <c r="A19" s="69">
        <v>4</v>
      </c>
      <c r="B19" s="80">
        <f t="shared" si="2"/>
        <v>35.433070866141733</v>
      </c>
      <c r="C19" s="81">
        <v>900</v>
      </c>
      <c r="D19" s="83">
        <f t="shared" si="3"/>
        <v>31.158216000000003</v>
      </c>
      <c r="E19" s="83">
        <f>(4*0.804)*0.9</f>
        <v>2.8944000000000001</v>
      </c>
      <c r="F19" s="73">
        <v>5</v>
      </c>
      <c r="G19" s="71" t="s">
        <v>69</v>
      </c>
      <c r="H19" s="73" t="s">
        <v>72</v>
      </c>
      <c r="I19" s="71">
        <v>1</v>
      </c>
      <c r="J19" s="73" t="s">
        <v>72</v>
      </c>
      <c r="K19" s="73">
        <v>1</v>
      </c>
    </row>
    <row r="20" spans="1:11" x14ac:dyDescent="0.25">
      <c r="A20" s="69">
        <v>5</v>
      </c>
      <c r="B20" s="80">
        <f t="shared" si="2"/>
        <v>42.519685039370081</v>
      </c>
      <c r="C20" s="81">
        <v>1080</v>
      </c>
      <c r="D20" s="83">
        <f t="shared" si="3"/>
        <v>37.389859200000004</v>
      </c>
      <c r="E20" s="83">
        <f>(4*0.804)*1.08</f>
        <v>3.4732800000000004</v>
      </c>
      <c r="F20" s="73">
        <v>6</v>
      </c>
      <c r="G20" s="71" t="s">
        <v>70</v>
      </c>
      <c r="H20" s="73" t="s">
        <v>73</v>
      </c>
      <c r="I20" s="71">
        <v>1.2</v>
      </c>
      <c r="J20" s="73" t="s">
        <v>73</v>
      </c>
      <c r="K20" s="73">
        <v>1.2</v>
      </c>
    </row>
    <row r="21" spans="1:11" x14ac:dyDescent="0.25">
      <c r="A21" s="69">
        <v>6</v>
      </c>
      <c r="B21" s="80">
        <f t="shared" si="2"/>
        <v>49.606299212598429</v>
      </c>
      <c r="C21" s="81">
        <v>1260</v>
      </c>
      <c r="D21" s="83">
        <f t="shared" si="3"/>
        <v>43.621502400000011</v>
      </c>
      <c r="E21" s="83">
        <f>(4*0.804)*1.26</f>
        <v>4.0521600000000007</v>
      </c>
      <c r="F21" s="73">
        <v>7</v>
      </c>
      <c r="G21" s="71" t="s">
        <v>71</v>
      </c>
      <c r="H21" s="73" t="s">
        <v>74</v>
      </c>
      <c r="I21" s="71">
        <v>1.4</v>
      </c>
      <c r="J21" s="73" t="s">
        <v>74</v>
      </c>
      <c r="K21" s="73">
        <v>1.4</v>
      </c>
    </row>
    <row r="23" spans="1:11" x14ac:dyDescent="0.25">
      <c r="A23" s="72"/>
      <c r="B23" s="72" t="s">
        <v>93</v>
      </c>
      <c r="C23" s="72"/>
      <c r="D23" s="72"/>
      <c r="E23" s="72"/>
      <c r="F23" s="72"/>
      <c r="G23" s="72"/>
      <c r="H23" s="72"/>
      <c r="I23" s="72"/>
      <c r="J23" s="72"/>
      <c r="K23" s="72"/>
    </row>
    <row r="25" spans="1:11" x14ac:dyDescent="0.25">
      <c r="B25" s="232" t="s">
        <v>48</v>
      </c>
      <c r="C25" s="233"/>
      <c r="D25" s="234" t="s">
        <v>36</v>
      </c>
      <c r="E25" s="234"/>
      <c r="F25" s="73"/>
      <c r="G25" s="71" t="s">
        <v>77</v>
      </c>
      <c r="H25" s="73"/>
      <c r="I25" s="71" t="s">
        <v>51</v>
      </c>
      <c r="J25" s="73"/>
    </row>
    <row r="26" spans="1:11" x14ac:dyDescent="0.25">
      <c r="A26" s="75"/>
      <c r="B26" s="76" t="s">
        <v>52</v>
      </c>
      <c r="C26" s="77" t="s">
        <v>53</v>
      </c>
      <c r="D26" s="78" t="s">
        <v>54</v>
      </c>
      <c r="E26" s="78" t="s">
        <v>55</v>
      </c>
      <c r="F26" s="79" t="s">
        <v>49</v>
      </c>
      <c r="G26" s="78" t="s">
        <v>78</v>
      </c>
      <c r="H26" s="79" t="s">
        <v>50</v>
      </c>
      <c r="I26" s="78" t="s">
        <v>56</v>
      </c>
      <c r="J26" s="79" t="s">
        <v>50</v>
      </c>
    </row>
    <row r="27" spans="1:11" x14ac:dyDescent="0.25">
      <c r="A27" s="69">
        <v>1</v>
      </c>
      <c r="B27" s="80">
        <f t="shared" ref="B27:B32" si="4">C27/25.4</f>
        <v>35.433070866141733</v>
      </c>
      <c r="C27" s="81">
        <v>900</v>
      </c>
      <c r="D27" s="83">
        <f t="shared" ref="D27:D32" si="5">E27*10.765</f>
        <v>21.508470000000003</v>
      </c>
      <c r="E27" s="83">
        <f>(4*0.555)*0.9</f>
        <v>1.9980000000000002</v>
      </c>
      <c r="F27" s="73">
        <v>5</v>
      </c>
      <c r="G27" s="71" t="s">
        <v>72</v>
      </c>
      <c r="H27" s="73">
        <v>1</v>
      </c>
      <c r="I27" s="71" t="s">
        <v>79</v>
      </c>
      <c r="J27" s="73">
        <v>1</v>
      </c>
    </row>
    <row r="28" spans="1:11" x14ac:dyDescent="0.25">
      <c r="A28" s="69">
        <v>2</v>
      </c>
      <c r="B28" s="80">
        <f t="shared" si="4"/>
        <v>42.519685039370081</v>
      </c>
      <c r="C28" s="81">
        <v>1080</v>
      </c>
      <c r="D28" s="83">
        <f t="shared" si="5"/>
        <v>25.810164000000004</v>
      </c>
      <c r="E28" s="83">
        <f>(4*0.555)*1.08</f>
        <v>2.3976000000000002</v>
      </c>
      <c r="F28" s="73">
        <v>6</v>
      </c>
      <c r="G28" s="71" t="s">
        <v>73</v>
      </c>
      <c r="H28" s="73">
        <v>1.2</v>
      </c>
      <c r="I28" s="71" t="s">
        <v>80</v>
      </c>
      <c r="J28" s="73">
        <v>1</v>
      </c>
    </row>
    <row r="29" spans="1:11" x14ac:dyDescent="0.25">
      <c r="A29" s="69">
        <v>3</v>
      </c>
      <c r="B29" s="80">
        <f t="shared" si="4"/>
        <v>49.606299212598429</v>
      </c>
      <c r="C29" s="81">
        <v>1260</v>
      </c>
      <c r="D29" s="83">
        <f t="shared" si="5"/>
        <v>30.111858000000002</v>
      </c>
      <c r="E29" s="83">
        <f>(4*0.555)*1.26</f>
        <v>2.7972000000000001</v>
      </c>
      <c r="F29" s="73">
        <v>7</v>
      </c>
      <c r="G29" s="71" t="s">
        <v>74</v>
      </c>
      <c r="H29" s="73">
        <v>1.4</v>
      </c>
      <c r="I29" s="71" t="s">
        <v>81</v>
      </c>
      <c r="J29" s="73">
        <v>1</v>
      </c>
    </row>
    <row r="30" spans="1:11" x14ac:dyDescent="0.25">
      <c r="A30" s="69">
        <v>4</v>
      </c>
      <c r="B30" s="80">
        <f t="shared" si="4"/>
        <v>35.433070866141733</v>
      </c>
      <c r="C30" s="81">
        <v>900</v>
      </c>
      <c r="D30" s="83">
        <f t="shared" si="5"/>
        <v>24.104987999999999</v>
      </c>
      <c r="E30" s="83">
        <f>(4*0.622)*0.9</f>
        <v>2.2391999999999999</v>
      </c>
      <c r="F30" s="73">
        <v>5</v>
      </c>
      <c r="G30" s="71" t="s">
        <v>82</v>
      </c>
      <c r="H30" s="73">
        <v>1</v>
      </c>
      <c r="I30" s="71" t="s">
        <v>83</v>
      </c>
      <c r="J30" s="73">
        <v>1</v>
      </c>
    </row>
    <row r="31" spans="1:11" x14ac:dyDescent="0.25">
      <c r="A31" s="69">
        <v>5</v>
      </c>
      <c r="B31" s="80">
        <f t="shared" si="4"/>
        <v>42.519685039370081</v>
      </c>
      <c r="C31" s="81">
        <v>1080</v>
      </c>
      <c r="D31" s="83">
        <f t="shared" si="5"/>
        <v>28.925985600000004</v>
      </c>
      <c r="E31" s="83">
        <f>(4*0.622)*1.08</f>
        <v>2.6870400000000001</v>
      </c>
      <c r="F31" s="73">
        <v>6</v>
      </c>
      <c r="G31" s="71" t="s">
        <v>84</v>
      </c>
      <c r="H31" s="73">
        <v>1.2</v>
      </c>
      <c r="I31" s="71" t="s">
        <v>85</v>
      </c>
      <c r="J31" s="73">
        <v>1</v>
      </c>
    </row>
    <row r="32" spans="1:11" x14ac:dyDescent="0.25">
      <c r="A32" s="69">
        <v>6</v>
      </c>
      <c r="B32" s="80">
        <f t="shared" si="4"/>
        <v>49.606299212598429</v>
      </c>
      <c r="C32" s="81">
        <v>1260</v>
      </c>
      <c r="D32" s="83">
        <f t="shared" si="5"/>
        <v>33.746983200000003</v>
      </c>
      <c r="E32" s="83">
        <f>(4*0.622)*1.26</f>
        <v>3.1348799999999999</v>
      </c>
      <c r="F32" s="73">
        <v>7</v>
      </c>
      <c r="G32" s="71" t="s">
        <v>86</v>
      </c>
      <c r="H32" s="73">
        <v>1.4</v>
      </c>
      <c r="I32" s="71" t="s">
        <v>87</v>
      </c>
      <c r="J32" s="73">
        <v>1</v>
      </c>
    </row>
  </sheetData>
  <sheetProtection password="DD81" sheet="1" objects="1" scenarios="1" selectLockedCells="1"/>
  <mergeCells count="4">
    <mergeCell ref="D5:E5"/>
    <mergeCell ref="B5:C5"/>
    <mergeCell ref="B25:C25"/>
    <mergeCell ref="D25:E25"/>
  </mergeCells>
  <pageMargins left="0.7" right="0.7" top="0.75" bottom="0.75" header="0.3" footer="0.3"/>
  <pageSetup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V40"/>
  <sheetViews>
    <sheetView showGridLines="0" zoomScaleNormal="100" zoomScaleSheetLayoutView="102" workbookViewId="0">
      <pane ySplit="2" topLeftCell="A3" activePane="bottomLeft" state="frozen"/>
      <selection activeCell="C2" sqref="C2:K2"/>
      <selection pane="bottomLeft" activeCell="H4" sqref="H4"/>
    </sheetView>
  </sheetViews>
  <sheetFormatPr baseColWidth="10" defaultColWidth="11.5703125" defaultRowHeight="15" x14ac:dyDescent="0.25"/>
  <cols>
    <col min="1" max="1" width="11.5703125" style="2"/>
    <col min="2" max="2" width="3.7109375" style="2" customWidth="1"/>
    <col min="3" max="3" width="3.140625" style="2" customWidth="1"/>
    <col min="4" max="4" width="4.42578125" style="2" customWidth="1"/>
    <col min="5" max="5" width="10.28515625" style="2" customWidth="1"/>
    <col min="6" max="6" width="8.5703125" style="2" customWidth="1"/>
    <col min="7" max="7" width="7.140625" style="2" customWidth="1"/>
    <col min="8" max="8" width="5.28515625" style="2" customWidth="1"/>
    <col min="9" max="9" width="1.5703125" style="2" customWidth="1"/>
    <col min="10" max="10" width="5.85546875" style="2" customWidth="1"/>
    <col min="11" max="11" width="3.140625" style="2" customWidth="1"/>
    <col min="12" max="12" width="1.5703125" style="2" customWidth="1"/>
    <col min="13" max="13" width="4.140625" style="2" customWidth="1"/>
    <col min="14" max="14" width="5.5703125" style="2" customWidth="1"/>
    <col min="15" max="15" width="8.140625" style="2" customWidth="1"/>
    <col min="16" max="16" width="5.42578125" style="2" customWidth="1"/>
    <col min="17" max="17" width="6.5703125" style="2" customWidth="1"/>
    <col min="18" max="18" width="5.85546875" style="166" customWidth="1"/>
    <col min="19" max="20" width="13.140625" style="166" customWidth="1"/>
    <col min="21" max="48" width="11.5703125" style="6"/>
    <col min="49" max="16384" width="11.5703125" style="2"/>
  </cols>
  <sheetData>
    <row r="1" spans="2:48" s="202" customFormat="1" ht="29.45" customHeight="1" x14ac:dyDescent="0.25">
      <c r="B1" s="217" t="s">
        <v>11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00"/>
      <c r="S1" s="200"/>
      <c r="T1" s="200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9.45" customHeight="1" x14ac:dyDescent="0.25">
      <c r="B2" s="217" t="s">
        <v>29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00"/>
      <c r="S2" s="200"/>
      <c r="T2" s="200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5.45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05"/>
      <c r="R3" s="166"/>
      <c r="S3" s="166"/>
      <c r="T3" s="16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8" customHeight="1" x14ac:dyDescent="0.25">
      <c r="B4" s="11"/>
      <c r="C4" s="11" t="s">
        <v>137</v>
      </c>
      <c r="D4" s="11"/>
      <c r="E4" s="68"/>
      <c r="F4" s="68"/>
      <c r="G4" s="11"/>
      <c r="H4" s="9"/>
      <c r="I4" s="11"/>
      <c r="J4" s="11"/>
      <c r="K4" s="11"/>
      <c r="L4" s="11"/>
      <c r="M4" s="11"/>
      <c r="N4" s="11"/>
      <c r="O4" s="11"/>
      <c r="P4" s="11"/>
      <c r="Q4" s="105"/>
      <c r="R4" s="166"/>
      <c r="S4" s="166"/>
      <c r="T4" s="16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56" customFormat="1" ht="14.45" customHeight="1" x14ac:dyDescent="0.25">
      <c r="B5" s="152"/>
      <c r="C5" s="152" t="s">
        <v>138</v>
      </c>
      <c r="D5" s="153"/>
      <c r="E5" s="154"/>
      <c r="F5" s="154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5"/>
      <c r="R5" s="181"/>
      <c r="S5" s="181"/>
      <c r="T5" s="181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</row>
    <row r="6" spans="2:48" s="12" customFormat="1" ht="5.45" customHeight="1" x14ac:dyDescent="0.25">
      <c r="B6" s="92"/>
      <c r="C6" s="87"/>
      <c r="D6" s="87"/>
      <c r="E6" s="88"/>
      <c r="F6" s="88"/>
      <c r="G6" s="89"/>
      <c r="H6" s="11"/>
      <c r="I6" s="86"/>
      <c r="J6" s="87"/>
      <c r="K6" s="87"/>
      <c r="L6" s="87"/>
      <c r="M6" s="87"/>
      <c r="N6" s="87"/>
      <c r="O6" s="87"/>
      <c r="P6" s="89"/>
      <c r="Q6" s="105"/>
      <c r="R6" s="166"/>
      <c r="S6" s="166"/>
      <c r="T6" s="16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ht="29.45" customHeight="1" x14ac:dyDescent="0.25">
      <c r="B7" s="111"/>
      <c r="C7" s="218" t="s">
        <v>104</v>
      </c>
      <c r="D7" s="218"/>
      <c r="E7" s="218"/>
      <c r="F7" s="218"/>
      <c r="G7" s="219"/>
      <c r="H7" s="90"/>
      <c r="I7" s="91"/>
      <c r="J7" s="218" t="s">
        <v>105</v>
      </c>
      <c r="K7" s="218"/>
      <c r="L7" s="218"/>
      <c r="M7" s="218"/>
      <c r="N7" s="218"/>
      <c r="O7" s="218"/>
      <c r="P7" s="92"/>
      <c r="Q7" s="105"/>
      <c r="R7" s="166"/>
      <c r="S7" s="166"/>
      <c r="T7" s="16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ht="2.4500000000000002" customHeight="1" x14ac:dyDescent="0.25">
      <c r="B8" s="92"/>
      <c r="C8" s="11"/>
      <c r="D8" s="11"/>
      <c r="E8" s="11"/>
      <c r="F8" s="11"/>
      <c r="G8" s="92"/>
      <c r="H8" s="11"/>
      <c r="I8" s="91"/>
      <c r="J8" s="11"/>
      <c r="K8" s="11"/>
      <c r="L8" s="11"/>
      <c r="M8" s="11"/>
      <c r="N8" s="11"/>
      <c r="O8" s="11"/>
      <c r="P8" s="92"/>
      <c r="Q8" s="105"/>
      <c r="R8" s="166"/>
      <c r="S8" s="166"/>
      <c r="T8" s="16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4.45" customHeight="1" x14ac:dyDescent="0.25">
      <c r="B9" s="92"/>
      <c r="C9" s="11"/>
      <c r="D9" s="112">
        <v>1</v>
      </c>
      <c r="E9" s="14" t="s">
        <v>98</v>
      </c>
      <c r="F9" s="14"/>
      <c r="G9" s="92"/>
      <c r="H9" s="11"/>
      <c r="I9" s="91"/>
      <c r="J9" s="112">
        <v>4</v>
      </c>
      <c r="K9" s="11"/>
      <c r="L9" s="11" t="s">
        <v>98</v>
      </c>
      <c r="M9" s="11"/>
      <c r="N9" s="11"/>
      <c r="O9" s="11"/>
      <c r="P9" s="92"/>
      <c r="Q9" s="105"/>
      <c r="R9" s="166"/>
      <c r="S9" s="166"/>
      <c r="T9" s="16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56" customFormat="1" ht="6" customHeight="1" x14ac:dyDescent="0.25">
      <c r="B10" s="157"/>
      <c r="C10" s="153"/>
      <c r="D10" s="154"/>
      <c r="E10" s="158"/>
      <c r="F10" s="158"/>
      <c r="G10" s="157"/>
      <c r="H10" s="153"/>
      <c r="I10" s="159"/>
      <c r="J10" s="153"/>
      <c r="K10" s="153"/>
      <c r="L10" s="153"/>
      <c r="M10" s="153"/>
      <c r="N10" s="153"/>
      <c r="O10" s="153"/>
      <c r="P10" s="157"/>
      <c r="Q10" s="155"/>
      <c r="R10" s="181"/>
      <c r="S10" s="181"/>
      <c r="T10" s="181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</row>
    <row r="11" spans="2:48" s="12" customFormat="1" ht="14.45" customHeight="1" x14ac:dyDescent="0.25">
      <c r="B11" s="92"/>
      <c r="C11" s="11"/>
      <c r="D11" s="112">
        <v>2</v>
      </c>
      <c r="E11" s="14" t="s">
        <v>99</v>
      </c>
      <c r="F11" s="14"/>
      <c r="G11" s="92"/>
      <c r="H11" s="11"/>
      <c r="I11" s="91"/>
      <c r="J11" s="112">
        <v>5</v>
      </c>
      <c r="K11" s="11"/>
      <c r="L11" s="11" t="s">
        <v>99</v>
      </c>
      <c r="M11" s="11"/>
      <c r="N11" s="11"/>
      <c r="O11" s="11"/>
      <c r="P11" s="92"/>
      <c r="Q11" s="105"/>
      <c r="R11" s="166"/>
      <c r="S11" s="166"/>
      <c r="T11" s="16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56" customFormat="1" ht="6.6" customHeight="1" x14ac:dyDescent="0.25">
      <c r="B12" s="157"/>
      <c r="C12" s="153"/>
      <c r="D12" s="154"/>
      <c r="E12" s="158"/>
      <c r="F12" s="158"/>
      <c r="G12" s="157"/>
      <c r="H12" s="153"/>
      <c r="I12" s="159"/>
      <c r="J12" s="153"/>
      <c r="K12" s="153"/>
      <c r="L12" s="153"/>
      <c r="M12" s="153"/>
      <c r="N12" s="153"/>
      <c r="O12" s="153"/>
      <c r="P12" s="157"/>
      <c r="Q12" s="155"/>
      <c r="R12" s="181"/>
      <c r="S12" s="181"/>
      <c r="T12" s="181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</row>
    <row r="13" spans="2:48" s="12" customFormat="1" ht="14.45" customHeight="1" x14ac:dyDescent="0.25">
      <c r="B13" s="92"/>
      <c r="C13" s="11"/>
      <c r="D13" s="112">
        <v>3</v>
      </c>
      <c r="E13" s="14" t="s">
        <v>100</v>
      </c>
      <c r="F13" s="14"/>
      <c r="G13" s="92"/>
      <c r="H13" s="11"/>
      <c r="I13" s="91"/>
      <c r="J13" s="112">
        <v>6</v>
      </c>
      <c r="K13" s="11"/>
      <c r="L13" s="11" t="s">
        <v>100</v>
      </c>
      <c r="M13" s="11"/>
      <c r="N13" s="11"/>
      <c r="O13" s="11"/>
      <c r="P13" s="92"/>
      <c r="Q13" s="105"/>
      <c r="R13" s="166"/>
      <c r="S13" s="166"/>
      <c r="T13" s="16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ht="5.45" customHeight="1" x14ac:dyDescent="0.25">
      <c r="B14" s="113"/>
      <c r="C14" s="95"/>
      <c r="D14" s="95"/>
      <c r="E14" s="95"/>
      <c r="F14" s="95"/>
      <c r="G14" s="96"/>
      <c r="H14" s="11"/>
      <c r="I14" s="97"/>
      <c r="J14" s="98"/>
      <c r="K14" s="98"/>
      <c r="L14" s="98"/>
      <c r="M14" s="98"/>
      <c r="N14" s="98"/>
      <c r="O14" s="98"/>
      <c r="P14" s="96"/>
      <c r="Q14" s="105"/>
      <c r="R14" s="166"/>
      <c r="S14" s="166"/>
      <c r="T14" s="16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222" t="s">
        <v>126</v>
      </c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105"/>
      <c r="R15" s="166"/>
      <c r="S15" s="166"/>
      <c r="T15" s="16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19.149999999999999" customHeight="1" x14ac:dyDescent="0.25">
      <c r="B16" s="10"/>
      <c r="C16" s="60" t="s">
        <v>6</v>
      </c>
      <c r="D16" s="66"/>
      <c r="E16" s="67"/>
      <c r="F16" s="67"/>
      <c r="G16" s="67"/>
      <c r="H16" s="67"/>
      <c r="I16" s="67"/>
      <c r="J16" s="67"/>
      <c r="K16" s="145"/>
      <c r="L16" s="145"/>
      <c r="M16" s="145"/>
      <c r="N16" s="145"/>
      <c r="O16" s="145"/>
      <c r="P16" s="145"/>
      <c r="Q16" s="105"/>
      <c r="R16" s="166"/>
      <c r="S16" s="166"/>
      <c r="T16" s="16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ht="6.6" customHeight="1" x14ac:dyDescent="0.25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05"/>
      <c r="R17" s="166"/>
      <c r="S17" s="166"/>
      <c r="T17" s="16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14.45" customHeight="1" x14ac:dyDescent="0.25">
      <c r="B18" s="14"/>
      <c r="C18" s="14"/>
      <c r="D18" s="11"/>
      <c r="E18" s="11"/>
      <c r="F18" s="164" t="s">
        <v>94</v>
      </c>
      <c r="G18" s="17" t="str">
        <f>IF($H$4&gt;0,IF($H$4&lt;7,(VLOOKUP($H$4,'table colonne'!$A$7:K$12,4,FALSE)),""),"")</f>
        <v/>
      </c>
      <c r="H18" s="14" t="s">
        <v>54</v>
      </c>
      <c r="I18" s="68"/>
      <c r="J18" s="17" t="str">
        <f>IF($H$4&gt;0,IF($H$4&lt;7,(VLOOKUP($H$4,'table colonne'!$A$7:K$12,5,FALSE)),""),"")</f>
        <v/>
      </c>
      <c r="K18" s="11" t="s">
        <v>55</v>
      </c>
      <c r="L18" s="11"/>
      <c r="M18" s="11"/>
      <c r="N18" s="11"/>
      <c r="O18" s="11"/>
      <c r="P18" s="11"/>
      <c r="Q18" s="105"/>
      <c r="R18" s="166"/>
      <c r="S18" s="166"/>
      <c r="T18" s="16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14"/>
      <c r="C19" s="14"/>
      <c r="D19" s="11"/>
      <c r="E19" s="11"/>
      <c r="F19" s="164"/>
      <c r="G19" s="14"/>
      <c r="H19" s="11"/>
      <c r="I19" s="11"/>
      <c r="J19" s="11"/>
      <c r="K19" s="11"/>
      <c r="L19" s="11"/>
      <c r="M19" s="11"/>
      <c r="N19" s="11"/>
      <c r="O19" s="11"/>
      <c r="P19" s="11" t="s">
        <v>167</v>
      </c>
      <c r="Q19" s="105"/>
      <c r="R19" s="166"/>
      <c r="S19" s="166"/>
      <c r="T19" s="16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14.45" customHeight="1" x14ac:dyDescent="0.25">
      <c r="B20" s="14"/>
      <c r="C20" s="14"/>
      <c r="D20" s="11"/>
      <c r="E20" s="11"/>
      <c r="F20" s="164" t="s">
        <v>95</v>
      </c>
      <c r="G20" s="99" t="str">
        <f>IF($H$4&gt;0,IF($H$4&lt;7,(VLOOKUP($H$4,'table colonne'!$A$7:K$12,7,FALSE)),""),"")</f>
        <v/>
      </c>
      <c r="H20" s="100"/>
      <c r="I20" s="100"/>
      <c r="J20" s="100"/>
      <c r="K20" s="101"/>
      <c r="L20" s="11"/>
      <c r="M20" s="221" t="s">
        <v>111</v>
      </c>
      <c r="N20" s="11"/>
      <c r="O20" s="11"/>
      <c r="P20" s="11"/>
      <c r="Q20" s="105"/>
      <c r="R20" s="178" t="s">
        <v>14</v>
      </c>
      <c r="S20" s="178" t="s">
        <v>117</v>
      </c>
      <c r="T20" s="178" t="s">
        <v>118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16.149999999999999" customHeight="1" x14ac:dyDescent="0.25">
      <c r="B21" s="14"/>
      <c r="C21" s="14"/>
      <c r="D21" s="11"/>
      <c r="E21" s="11"/>
      <c r="F21" s="164"/>
      <c r="G21" s="14"/>
      <c r="H21" s="11"/>
      <c r="I21" s="11"/>
      <c r="J21" s="11"/>
      <c r="K21" s="11"/>
      <c r="L21" s="11"/>
      <c r="M21" s="221"/>
      <c r="N21" s="20" t="str">
        <f>IF(G18="","",IF(T21&gt;0.751,S21+1,S21))</f>
        <v/>
      </c>
      <c r="O21" s="52" t="s">
        <v>14</v>
      </c>
      <c r="P21" s="20" t="str">
        <f>IF(G18="","",IF(T21&gt;0.751,0,IF(T21&gt;0.501,3,IF(T21&gt;0.251,2,IF(T21&gt;0,1,0)))))</f>
        <v/>
      </c>
      <c r="Q21" s="105" t="s">
        <v>116</v>
      </c>
      <c r="R21" s="178" t="str">
        <f>IF($H$4&gt;0,IF($H$4&lt;7,(VLOOKUP($H$4,'table colonne'!$A$7:K$12,9,FALSE)),""),"")</f>
        <v/>
      </c>
      <c r="S21" s="178" t="e">
        <f>ROUNDDOWN(R21,0)</f>
        <v>#VALUE!</v>
      </c>
      <c r="T21" s="178" t="e">
        <f>R21-S21</f>
        <v>#VALUE!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14.45" customHeight="1" x14ac:dyDescent="0.25">
      <c r="B22" s="14"/>
      <c r="C22" s="14"/>
      <c r="D22" s="11"/>
      <c r="E22" s="11"/>
      <c r="F22" s="164" t="s">
        <v>96</v>
      </c>
      <c r="G22" s="99" t="str">
        <f>IF($H$4&gt;0,IF($H$4&lt;7,(VLOOKUP($H$4,'table colonne'!$A$7:K$12,8,FALSE)),""),"")</f>
        <v/>
      </c>
      <c r="H22" s="100"/>
      <c r="I22" s="100"/>
      <c r="J22" s="100"/>
      <c r="K22" s="101"/>
      <c r="L22" s="11"/>
      <c r="M22" s="221"/>
      <c r="N22" s="56"/>
      <c r="O22" s="52"/>
      <c r="P22" s="56"/>
      <c r="Q22" s="105"/>
      <c r="R22" s="178"/>
      <c r="S22" s="178"/>
      <c r="T22" s="178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14"/>
      <c r="C23" s="14"/>
      <c r="D23" s="11"/>
      <c r="E23" s="11"/>
      <c r="F23" s="164"/>
      <c r="G23" s="14"/>
      <c r="H23" s="11"/>
      <c r="I23" s="11"/>
      <c r="J23" s="11"/>
      <c r="K23" s="11"/>
      <c r="L23" s="11"/>
      <c r="M23" s="11"/>
      <c r="N23" s="56"/>
      <c r="O23" s="52"/>
      <c r="P23" s="56"/>
      <c r="Q23" s="105"/>
      <c r="R23" s="178"/>
      <c r="S23" s="178"/>
      <c r="T23" s="178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14.45" customHeight="1" x14ac:dyDescent="0.25">
      <c r="B24" s="14"/>
      <c r="C24" s="14"/>
      <c r="D24" s="11"/>
      <c r="E24" s="11"/>
      <c r="F24" s="164" t="s">
        <v>115</v>
      </c>
      <c r="G24" s="99" t="str">
        <f>IF($H$4&gt;0,IF($H$4&lt;7,(VLOOKUP($H$4,'table colonne'!$A$7:K$12,10,FALSE)),""),"")</f>
        <v/>
      </c>
      <c r="H24" s="100"/>
      <c r="I24" s="100"/>
      <c r="J24" s="102"/>
      <c r="K24" s="101"/>
      <c r="L24" s="11"/>
      <c r="M24" s="11"/>
      <c r="N24" s="20" t="str">
        <f>IF(G18="","",IF(T24&gt;0.835,S24+1,S24))</f>
        <v/>
      </c>
      <c r="O24" s="52" t="s">
        <v>14</v>
      </c>
      <c r="P24" s="20" t="str">
        <f>IF(G18="","",IF(P20&gt;0.835,0,ROUNDUP(P20/0.17,0)))</f>
        <v/>
      </c>
      <c r="Q24" s="105" t="s">
        <v>116</v>
      </c>
      <c r="R24" s="167" t="str">
        <f>IF($H$4&gt;0,IF($H$4&lt;7,(VLOOKUP($H$4,'table colonne'!$A$7:K$12,11,FALSE)),""),"")</f>
        <v/>
      </c>
      <c r="S24" s="178" t="e">
        <f>ROUNDDOWN(R24,0)</f>
        <v>#VALUE!</v>
      </c>
      <c r="T24" s="178" t="e">
        <f>R24-S24</f>
        <v>#VALUE!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11"/>
      <c r="C25" s="11"/>
      <c r="D25" s="11"/>
      <c r="E25" s="11"/>
      <c r="F25" s="16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05"/>
      <c r="R25" s="166"/>
      <c r="S25" s="166"/>
      <c r="T25" s="16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14.45" customHeight="1" x14ac:dyDescent="0.25">
      <c r="B26" s="14"/>
      <c r="C26" s="14"/>
      <c r="D26" s="14"/>
      <c r="E26" s="11"/>
      <c r="F26" s="164" t="s">
        <v>120</v>
      </c>
      <c r="G26" s="20" t="str">
        <f>IF(G18="","",8)</f>
        <v/>
      </c>
      <c r="H26" s="11"/>
      <c r="I26" s="103"/>
      <c r="J26" s="11"/>
      <c r="K26" s="11"/>
      <c r="L26" s="56"/>
      <c r="M26" s="56"/>
      <c r="N26" s="56"/>
      <c r="O26" s="11"/>
      <c r="P26" s="114"/>
      <c r="Q26" s="115"/>
      <c r="R26" s="167"/>
      <c r="S26" s="166"/>
      <c r="T26" s="16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9" customHeight="1" x14ac:dyDescent="0.25">
      <c r="B27" s="11"/>
      <c r="C27" s="11"/>
      <c r="D27" s="11"/>
      <c r="E27" s="11"/>
      <c r="F27" s="164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05"/>
      <c r="R27" s="166"/>
      <c r="S27" s="166"/>
      <c r="T27" s="16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151"/>
      <c r="C28" s="162"/>
      <c r="D28" s="160"/>
      <c r="E28" s="160"/>
      <c r="F28" s="165" t="s">
        <v>149</v>
      </c>
      <c r="G28" s="161" t="str">
        <f>IF(H4&gt;0,IF(H4&lt;4,"Couronnement ESPLANADE 29 x 29 po (737x737 mm)",IF(H4&lt;7,"Couronnement ESPLANADE 31 x 31 po (787 x 787 mm)","")),"")</f>
        <v/>
      </c>
      <c r="H28" s="143"/>
      <c r="I28" s="143"/>
      <c r="J28" s="143"/>
      <c r="K28" s="143"/>
      <c r="L28" s="143"/>
      <c r="M28" s="143"/>
      <c r="N28" s="143"/>
      <c r="O28" s="143"/>
      <c r="P28" s="144"/>
      <c r="Q28" s="136"/>
      <c r="R28" s="166"/>
      <c r="S28" s="166"/>
      <c r="T28" s="16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05"/>
      <c r="R29" s="166"/>
      <c r="S29" s="166"/>
      <c r="T29" s="16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104"/>
      <c r="C30" s="171" t="s">
        <v>102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9"/>
      <c r="Q30" s="105"/>
      <c r="R30" s="166"/>
      <c r="S30" s="166"/>
      <c r="T30" s="16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ht="6.6" customHeight="1" x14ac:dyDescent="0.25">
      <c r="B31" s="104"/>
      <c r="C31" s="172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92"/>
      <c r="Q31" s="105"/>
      <c r="R31" s="166"/>
      <c r="S31" s="166"/>
      <c r="T31" s="16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104"/>
      <c r="C32" s="172" t="s">
        <v>38</v>
      </c>
      <c r="D32" s="11"/>
      <c r="E32" s="11"/>
      <c r="F32" s="11"/>
      <c r="G32" s="11" t="s">
        <v>39</v>
      </c>
      <c r="H32" s="11"/>
      <c r="I32" s="11"/>
      <c r="J32" s="11"/>
      <c r="K32" s="11"/>
      <c r="L32" s="11"/>
      <c r="M32" s="11"/>
      <c r="N32" s="11"/>
      <c r="O32" s="11"/>
      <c r="P32" s="92"/>
      <c r="Q32" s="105"/>
      <c r="R32" s="166"/>
      <c r="S32" s="166"/>
      <c r="T32" s="16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04"/>
      <c r="C33" s="172" t="s">
        <v>40</v>
      </c>
      <c r="D33" s="11"/>
      <c r="E33" s="11"/>
      <c r="F33" s="11"/>
      <c r="G33" s="11" t="s">
        <v>41</v>
      </c>
      <c r="H33" s="11"/>
      <c r="I33" s="11"/>
      <c r="J33" s="11"/>
      <c r="K33" s="11"/>
      <c r="L33" s="11"/>
      <c r="M33" s="11"/>
      <c r="N33" s="11"/>
      <c r="O33" s="11"/>
      <c r="P33" s="92"/>
      <c r="Q33" s="105"/>
      <c r="R33" s="166"/>
      <c r="S33" s="166"/>
      <c r="T33" s="16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04"/>
      <c r="C34" s="172" t="s">
        <v>42</v>
      </c>
      <c r="D34" s="11"/>
      <c r="E34" s="11"/>
      <c r="F34" s="11"/>
      <c r="G34" s="11" t="s">
        <v>43</v>
      </c>
      <c r="H34" s="11"/>
      <c r="I34" s="11"/>
      <c r="J34" s="11"/>
      <c r="K34" s="11"/>
      <c r="L34" s="11"/>
      <c r="M34" s="11"/>
      <c r="N34" s="11"/>
      <c r="O34" s="11"/>
      <c r="P34" s="92"/>
      <c r="Q34" s="105"/>
      <c r="R34" s="181"/>
      <c r="S34" s="181"/>
      <c r="T34" s="18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ht="6.6" customHeight="1" x14ac:dyDescent="0.25">
      <c r="B35" s="11"/>
      <c r="C35" s="9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92"/>
      <c r="Q35" s="105"/>
      <c r="R35" s="181"/>
      <c r="S35" s="181"/>
      <c r="T35" s="181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56" customFormat="1" ht="19.899999999999999" customHeight="1" x14ac:dyDescent="0.25">
      <c r="B36" s="168"/>
      <c r="C36" s="169" t="s">
        <v>139</v>
      </c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55"/>
      <c r="R36" s="166"/>
      <c r="S36" s="166"/>
      <c r="T36" s="166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</row>
    <row r="37" spans="2:48" s="156" customFormat="1" ht="19.899999999999999" customHeight="1" x14ac:dyDescent="0.25">
      <c r="B37" s="153"/>
      <c r="C37" s="220" t="s">
        <v>140</v>
      </c>
      <c r="D37" s="220"/>
      <c r="E37" s="153" t="s">
        <v>142</v>
      </c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5"/>
      <c r="R37" s="166"/>
      <c r="S37" s="166"/>
      <c r="T37" s="166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</row>
    <row r="38" spans="2:48" s="12" customFormat="1" x14ac:dyDescent="0.25">
      <c r="B38" s="11"/>
      <c r="C38" s="11"/>
      <c r="D38" s="11"/>
      <c r="E38" s="11" t="s">
        <v>141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05"/>
      <c r="R38" s="166"/>
      <c r="S38" s="166"/>
      <c r="T38" s="16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05"/>
      <c r="R39" s="166"/>
      <c r="S39" s="166"/>
      <c r="T39" s="16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s="12" customFormat="1" x14ac:dyDescent="0.25">
      <c r="R40" s="166"/>
      <c r="S40" s="166"/>
      <c r="T40" s="16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</row>
  </sheetData>
  <sheetProtection password="DD81" sheet="1" objects="1" scenarios="1" selectLockedCells="1"/>
  <mergeCells count="7">
    <mergeCell ref="B1:Q1"/>
    <mergeCell ref="C7:G7"/>
    <mergeCell ref="C37:D37"/>
    <mergeCell ref="J7:O7"/>
    <mergeCell ref="M20:M22"/>
    <mergeCell ref="B15:P15"/>
    <mergeCell ref="B2:Q2"/>
  </mergeCells>
  <printOptions horizontalCentered="1"/>
  <pageMargins left="0.62992125984251968" right="0.62992125984251968" top="0.35433070866141736" bottom="0.35433070866141736" header="0.31496062992125984" footer="0.31496062992125984"/>
  <pageSetup fitToHeight="0" orientation="portrait" r:id="rId1"/>
  <headerFooter>
    <oddFooter>&amp;C&amp;G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V41"/>
  <sheetViews>
    <sheetView showGridLines="0" topLeftCell="B1" zoomScaleNormal="100" zoomScaleSheetLayoutView="99" workbookViewId="0">
      <pane ySplit="2" topLeftCell="A3" activePane="bottomLeft" state="frozen"/>
      <selection activeCell="H4" sqref="H4"/>
      <selection pane="bottomLeft" activeCell="G4" sqref="G4"/>
    </sheetView>
  </sheetViews>
  <sheetFormatPr baseColWidth="10" defaultColWidth="11.5703125" defaultRowHeight="15" x14ac:dyDescent="0.25"/>
  <cols>
    <col min="1" max="1" width="11.5703125" style="2"/>
    <col min="2" max="2" width="5.42578125" style="2" customWidth="1"/>
    <col min="3" max="3" width="2.7109375" style="2" customWidth="1"/>
    <col min="4" max="4" width="4.42578125" style="2" customWidth="1"/>
    <col min="5" max="5" width="20.5703125" style="2" customWidth="1"/>
    <col min="6" max="6" width="7.140625" style="2" customWidth="1"/>
    <col min="7" max="7" width="5.28515625" style="2" customWidth="1"/>
    <col min="8" max="8" width="2.7109375" style="2" customWidth="1"/>
    <col min="9" max="9" width="5.85546875" style="2" customWidth="1"/>
    <col min="10" max="13" width="3.140625" style="2" customWidth="1"/>
    <col min="14" max="14" width="6.28515625" style="2" customWidth="1"/>
    <col min="15" max="15" width="6.5703125" style="2" customWidth="1"/>
    <col min="16" max="16" width="7.42578125" style="2" customWidth="1"/>
    <col min="17" max="17" width="8" style="2" customWidth="1"/>
    <col min="18" max="21" width="11.5703125" style="166"/>
    <col min="22" max="48" width="11.5703125" style="6"/>
    <col min="49" max="16384" width="11.5703125" style="2"/>
  </cols>
  <sheetData>
    <row r="1" spans="2:48" s="202" customFormat="1" ht="29.45" customHeight="1" x14ac:dyDescent="0.25">
      <c r="B1" s="203"/>
      <c r="C1" s="217" t="s">
        <v>11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00"/>
      <c r="S1" s="200"/>
      <c r="T1" s="200"/>
      <c r="U1" s="200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9.45" customHeight="1" x14ac:dyDescent="0.25">
      <c r="B2" s="203"/>
      <c r="C2" s="217" t="s">
        <v>30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00"/>
      <c r="S2" s="200"/>
      <c r="T2" s="200"/>
      <c r="U2" s="200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9.6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05"/>
      <c r="R3" s="166"/>
      <c r="S3" s="166"/>
      <c r="T3" s="166"/>
      <c r="U3" s="16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7.45" customHeight="1" x14ac:dyDescent="0.25">
      <c r="B4" s="11"/>
      <c r="C4" s="11" t="s">
        <v>137</v>
      </c>
      <c r="D4" s="11"/>
      <c r="E4" s="68"/>
      <c r="F4" s="11"/>
      <c r="G4" s="9"/>
      <c r="H4" s="11"/>
      <c r="I4" s="11"/>
      <c r="J4" s="11"/>
      <c r="K4" s="11"/>
      <c r="L4" s="11"/>
      <c r="M4" s="11"/>
      <c r="N4" s="11"/>
      <c r="O4" s="11"/>
      <c r="P4" s="11"/>
      <c r="Q4" s="105"/>
      <c r="R4" s="166"/>
      <c r="S4" s="166"/>
      <c r="T4" s="166"/>
      <c r="U4" s="16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ht="12" customHeight="1" x14ac:dyDescent="0.25">
      <c r="B5" s="11"/>
      <c r="C5" s="85" t="s">
        <v>138</v>
      </c>
      <c r="D5" s="11"/>
      <c r="E5" s="6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05"/>
      <c r="R5" s="166"/>
      <c r="S5" s="166"/>
      <c r="T5" s="166"/>
      <c r="U5" s="16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6" customHeight="1" x14ac:dyDescent="0.25">
      <c r="B6" s="11"/>
      <c r="C6" s="86"/>
      <c r="D6" s="87"/>
      <c r="E6" s="88"/>
      <c r="F6" s="89"/>
      <c r="G6" s="11"/>
      <c r="H6" s="86"/>
      <c r="I6" s="87"/>
      <c r="J6" s="87"/>
      <c r="K6" s="87"/>
      <c r="L6" s="87"/>
      <c r="M6" s="87"/>
      <c r="N6" s="87"/>
      <c r="O6" s="87"/>
      <c r="P6" s="89"/>
      <c r="Q6" s="105"/>
      <c r="R6" s="166"/>
      <c r="S6" s="166"/>
      <c r="T6" s="166"/>
      <c r="U6" s="16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ht="28.15" customHeight="1" x14ac:dyDescent="0.25">
      <c r="B7" s="11"/>
      <c r="C7" s="223" t="s">
        <v>106</v>
      </c>
      <c r="D7" s="218"/>
      <c r="E7" s="218"/>
      <c r="F7" s="219"/>
      <c r="G7" s="90"/>
      <c r="H7" s="91"/>
      <c r="I7" s="218" t="s">
        <v>107</v>
      </c>
      <c r="J7" s="218"/>
      <c r="K7" s="218"/>
      <c r="L7" s="218"/>
      <c r="M7" s="218"/>
      <c r="N7" s="218"/>
      <c r="O7" s="218"/>
      <c r="P7" s="92"/>
      <c r="Q7" s="105"/>
      <c r="R7" s="166"/>
      <c r="S7" s="166"/>
      <c r="T7" s="166"/>
      <c r="U7" s="16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ht="6.6" customHeight="1" x14ac:dyDescent="0.25">
      <c r="B8" s="11"/>
      <c r="C8" s="91"/>
      <c r="D8" s="11"/>
      <c r="E8" s="11"/>
      <c r="F8" s="92"/>
      <c r="G8" s="11"/>
      <c r="H8" s="91"/>
      <c r="I8" s="11"/>
      <c r="J8" s="11"/>
      <c r="K8" s="11"/>
      <c r="L8" s="11"/>
      <c r="M8" s="11"/>
      <c r="N8" s="11"/>
      <c r="O8" s="11"/>
      <c r="P8" s="92"/>
      <c r="Q8" s="105"/>
      <c r="R8" s="166"/>
      <c r="S8" s="166"/>
      <c r="T8" s="166"/>
      <c r="U8" s="16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5" customHeight="1" x14ac:dyDescent="0.25">
      <c r="B9" s="11"/>
      <c r="C9" s="91"/>
      <c r="D9" s="93">
        <v>1</v>
      </c>
      <c r="E9" s="21" t="s">
        <v>97</v>
      </c>
      <c r="F9" s="92"/>
      <c r="G9" s="11"/>
      <c r="H9" s="91"/>
      <c r="I9" s="93">
        <v>4</v>
      </c>
      <c r="J9" s="11"/>
      <c r="K9" s="11" t="s">
        <v>97</v>
      </c>
      <c r="L9" s="11"/>
      <c r="M9" s="11"/>
      <c r="N9" s="11"/>
      <c r="O9" s="11"/>
      <c r="P9" s="92"/>
      <c r="Q9" s="105"/>
      <c r="R9" s="166"/>
      <c r="S9" s="166"/>
      <c r="T9" s="166"/>
      <c r="U9" s="16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6" customHeight="1" x14ac:dyDescent="0.25">
      <c r="B10" s="11"/>
      <c r="C10" s="91"/>
      <c r="D10" s="68"/>
      <c r="E10" s="21"/>
      <c r="F10" s="92"/>
      <c r="G10" s="11"/>
      <c r="H10" s="91"/>
      <c r="I10" s="11"/>
      <c r="J10" s="11"/>
      <c r="K10" s="11"/>
      <c r="L10" s="11"/>
      <c r="M10" s="11"/>
      <c r="N10" s="11"/>
      <c r="O10" s="11"/>
      <c r="P10" s="92"/>
      <c r="Q10" s="105"/>
      <c r="R10" s="166"/>
      <c r="S10" s="166"/>
      <c r="T10" s="166"/>
      <c r="U10" s="16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5" customHeight="1" x14ac:dyDescent="0.25">
      <c r="B11" s="11"/>
      <c r="C11" s="91"/>
      <c r="D11" s="93">
        <v>2</v>
      </c>
      <c r="E11" s="21" t="s">
        <v>44</v>
      </c>
      <c r="F11" s="92"/>
      <c r="G11" s="11"/>
      <c r="H11" s="91"/>
      <c r="I11" s="93">
        <v>5</v>
      </c>
      <c r="J11" s="11"/>
      <c r="K11" s="11" t="s">
        <v>44</v>
      </c>
      <c r="L11" s="11"/>
      <c r="M11" s="11"/>
      <c r="N11" s="11"/>
      <c r="O11" s="11"/>
      <c r="P11" s="92"/>
      <c r="Q11" s="105"/>
      <c r="R11" s="166"/>
      <c r="S11" s="166"/>
      <c r="T11" s="166"/>
      <c r="U11" s="16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ht="5.45" customHeight="1" x14ac:dyDescent="0.25">
      <c r="B12" s="11"/>
      <c r="C12" s="91"/>
      <c r="D12" s="68"/>
      <c r="E12" s="21"/>
      <c r="F12" s="92"/>
      <c r="G12" s="11"/>
      <c r="H12" s="91"/>
      <c r="I12" s="11"/>
      <c r="J12" s="11"/>
      <c r="K12" s="11"/>
      <c r="L12" s="11"/>
      <c r="M12" s="11"/>
      <c r="N12" s="11"/>
      <c r="O12" s="11"/>
      <c r="P12" s="92"/>
      <c r="Q12" s="105"/>
      <c r="R12" s="166"/>
      <c r="S12" s="166"/>
      <c r="T12" s="166"/>
      <c r="U12" s="16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5" customHeight="1" x14ac:dyDescent="0.25">
      <c r="B13" s="11"/>
      <c r="C13" s="91"/>
      <c r="D13" s="93">
        <v>3</v>
      </c>
      <c r="E13" s="21" t="s">
        <v>45</v>
      </c>
      <c r="F13" s="92"/>
      <c r="G13" s="11"/>
      <c r="H13" s="91"/>
      <c r="I13" s="93">
        <v>6</v>
      </c>
      <c r="J13" s="11"/>
      <c r="K13" s="11" t="s">
        <v>45</v>
      </c>
      <c r="L13" s="11"/>
      <c r="M13" s="11"/>
      <c r="N13" s="11"/>
      <c r="O13" s="11"/>
      <c r="P13" s="92"/>
      <c r="Q13" s="105"/>
      <c r="R13" s="166"/>
      <c r="S13" s="166"/>
      <c r="T13" s="166"/>
      <c r="U13" s="16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ht="3.6" customHeight="1" x14ac:dyDescent="0.25">
      <c r="B14" s="11"/>
      <c r="C14" s="94"/>
      <c r="D14" s="95"/>
      <c r="E14" s="95"/>
      <c r="F14" s="96"/>
      <c r="G14" s="11"/>
      <c r="H14" s="97"/>
      <c r="I14" s="98"/>
      <c r="J14" s="98"/>
      <c r="K14" s="98"/>
      <c r="L14" s="98"/>
      <c r="M14" s="98"/>
      <c r="N14" s="98"/>
      <c r="O14" s="98"/>
      <c r="P14" s="96"/>
      <c r="Q14" s="105"/>
      <c r="R14" s="166"/>
      <c r="S14" s="166"/>
      <c r="T14" s="166"/>
      <c r="U14" s="16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11"/>
      <c r="C15" s="222" t="s">
        <v>126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166"/>
      <c r="S15" s="166"/>
      <c r="T15" s="166"/>
      <c r="U15" s="16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7.15" customHeight="1" x14ac:dyDescent="0.25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05"/>
      <c r="R16" s="166"/>
      <c r="S16" s="166"/>
      <c r="T16" s="166"/>
      <c r="U16" s="16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ht="21" x14ac:dyDescent="0.25">
      <c r="B17" s="11"/>
      <c r="C17" s="60" t="s">
        <v>6</v>
      </c>
      <c r="D17" s="66"/>
      <c r="E17" s="67"/>
      <c r="F17" s="67"/>
      <c r="G17" s="67"/>
      <c r="H17" s="67"/>
      <c r="I17" s="67"/>
      <c r="J17" s="67"/>
      <c r="K17" s="145"/>
      <c r="L17" s="145"/>
      <c r="M17" s="145"/>
      <c r="N17" s="145"/>
      <c r="O17" s="145"/>
      <c r="P17" s="145"/>
      <c r="Q17" s="105"/>
      <c r="R17" s="166"/>
      <c r="S17" s="166"/>
      <c r="T17" s="166"/>
      <c r="U17" s="16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8.4499999999999993" customHeight="1" x14ac:dyDescent="0.25"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05"/>
      <c r="R18" s="166"/>
      <c r="S18" s="166"/>
      <c r="T18" s="166"/>
      <c r="U18" s="16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17.45" customHeight="1" x14ac:dyDescent="0.25">
      <c r="B19" s="11"/>
      <c r="C19" s="11"/>
      <c r="D19" s="14"/>
      <c r="E19" s="164" t="s">
        <v>151</v>
      </c>
      <c r="F19" s="17" t="str">
        <f>IF($G$4&gt;0,IF($G$4&lt;7,(VLOOKUP($G$4,'table colonne'!$A$16:K$21,4,FALSE)),""),"")</f>
        <v/>
      </c>
      <c r="G19" s="11" t="s">
        <v>54</v>
      </c>
      <c r="H19" s="11"/>
      <c r="I19" s="17" t="str">
        <f>IF($G$4&gt;0,IF($G$4&lt;7,(VLOOKUP($G$4,'table colonne'!$A$16:K$21,5,FALSE)),""),"")</f>
        <v/>
      </c>
      <c r="J19" s="11" t="s">
        <v>55</v>
      </c>
      <c r="K19" s="11"/>
      <c r="L19" s="11"/>
      <c r="M19" s="11"/>
      <c r="N19" s="11"/>
      <c r="O19" s="11"/>
      <c r="P19" s="11"/>
      <c r="Q19" s="105"/>
      <c r="R19" s="166"/>
      <c r="S19" s="166"/>
      <c r="T19" s="166"/>
      <c r="U19" s="16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8.4499999999999993" customHeight="1" x14ac:dyDescent="0.25">
      <c r="B20" s="11"/>
      <c r="C20" s="11"/>
      <c r="D20" s="14"/>
      <c r="E20" s="164"/>
      <c r="F20" s="14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05"/>
      <c r="R20" s="166"/>
      <c r="S20" s="166"/>
      <c r="T20" s="166"/>
      <c r="U20" s="16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17.45" customHeight="1" x14ac:dyDescent="0.25">
      <c r="B21" s="11"/>
      <c r="C21" s="11"/>
      <c r="D21" s="14"/>
      <c r="E21" s="164" t="s">
        <v>152</v>
      </c>
      <c r="F21" s="99" t="str">
        <f>IF($G$4&gt;0,IF($G$4&lt;7,(VLOOKUP($G$4,'table colonne'!$A$16:K$21,7,FALSE)),""),"")</f>
        <v/>
      </c>
      <c r="G21" s="100"/>
      <c r="H21" s="100"/>
      <c r="I21" s="100"/>
      <c r="J21" s="101"/>
      <c r="K21" s="11"/>
      <c r="L21" s="224" t="s">
        <v>111</v>
      </c>
      <c r="M21" s="68"/>
      <c r="N21" s="11"/>
      <c r="O21" s="11"/>
      <c r="P21" s="11"/>
      <c r="Q21" s="105"/>
      <c r="R21" s="178" t="s">
        <v>14</v>
      </c>
      <c r="S21" s="178" t="s">
        <v>117</v>
      </c>
      <c r="T21" s="178" t="s">
        <v>118</v>
      </c>
      <c r="U21" s="16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17.45" customHeight="1" x14ac:dyDescent="0.25">
      <c r="B22" s="11"/>
      <c r="C22" s="11"/>
      <c r="D22" s="14"/>
      <c r="E22" s="164"/>
      <c r="F22" s="14"/>
      <c r="G22" s="11"/>
      <c r="H22" s="11"/>
      <c r="I22" s="11"/>
      <c r="J22" s="11"/>
      <c r="K22" s="11"/>
      <c r="L22" s="224"/>
      <c r="M22" s="68"/>
      <c r="N22" s="20" t="str">
        <f>IF(F19="","",IF(T22&gt;0.751,S22+1,S22))</f>
        <v/>
      </c>
      <c r="O22" s="52" t="s">
        <v>14</v>
      </c>
      <c r="P22" s="20" t="str">
        <f>IF(F19="","",IF(T22&gt;0.751,0,IF(T22&gt;0.501,3,IF(T22&gt;0.251,2,IF(T22&gt;0,1,0)))))</f>
        <v/>
      </c>
      <c r="Q22" s="105" t="s">
        <v>116</v>
      </c>
      <c r="R22" s="178" t="str">
        <f>IF($G$4&gt;0,IF($G$4&lt;7,(VLOOKUP($G$4,'table colonne'!$A$16:K$21,9,FALSE)),""),"")</f>
        <v/>
      </c>
      <c r="S22" s="178" t="e">
        <f>ROUNDDOWN(R22,0)</f>
        <v>#VALUE!</v>
      </c>
      <c r="T22" s="178" t="e">
        <f>R22-S22</f>
        <v>#VALUE!</v>
      </c>
      <c r="U22" s="16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17.45" customHeight="1" x14ac:dyDescent="0.25">
      <c r="B23" s="11"/>
      <c r="C23" s="11"/>
      <c r="D23" s="14"/>
      <c r="E23" s="164" t="s">
        <v>153</v>
      </c>
      <c r="F23" s="99" t="str">
        <f>IF($G$4&gt;0,IF($G$4&lt;7,(VLOOKUP($G$4,'table colonne'!$A$16:K$21,8,FALSE)),""),"")</f>
        <v/>
      </c>
      <c r="G23" s="100"/>
      <c r="H23" s="100"/>
      <c r="I23" s="100"/>
      <c r="J23" s="101"/>
      <c r="K23" s="11"/>
      <c r="L23" s="224"/>
      <c r="M23" s="68"/>
      <c r="N23" s="56"/>
      <c r="O23" s="52"/>
      <c r="P23" s="56"/>
      <c r="Q23" s="105"/>
      <c r="R23" s="178"/>
      <c r="S23" s="178"/>
      <c r="T23" s="178"/>
      <c r="U23" s="16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8.4499999999999993" customHeight="1" x14ac:dyDescent="0.25">
      <c r="B24" s="11"/>
      <c r="C24" s="11"/>
      <c r="D24" s="14"/>
      <c r="E24" s="164"/>
      <c r="F24" s="14"/>
      <c r="G24" s="11"/>
      <c r="H24" s="11"/>
      <c r="I24" s="11"/>
      <c r="J24" s="11"/>
      <c r="K24" s="11"/>
      <c r="L24" s="11"/>
      <c r="M24" s="11"/>
      <c r="N24" s="56"/>
      <c r="O24" s="52"/>
      <c r="P24" s="56"/>
      <c r="Q24" s="105"/>
      <c r="R24" s="178"/>
      <c r="S24" s="178"/>
      <c r="T24" s="178"/>
      <c r="U24" s="16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17.45" customHeight="1" x14ac:dyDescent="0.25">
      <c r="B25" s="11"/>
      <c r="C25" s="11"/>
      <c r="D25" s="14"/>
      <c r="E25" s="164" t="s">
        <v>154</v>
      </c>
      <c r="F25" s="99" t="str">
        <f>IF($G$4&gt;0,IF($G$4&lt;7,(VLOOKUP($G$4,'table colonne'!$A$16:K$21,10,FALSE)),""),"")</f>
        <v/>
      </c>
      <c r="G25" s="100"/>
      <c r="H25" s="100"/>
      <c r="I25" s="102"/>
      <c r="J25" s="101"/>
      <c r="K25" s="11"/>
      <c r="L25" s="11"/>
      <c r="M25" s="11"/>
      <c r="N25" s="20" t="str">
        <f>IF(F19="","",IF(T25&gt;0.751,S25+1,S25))</f>
        <v/>
      </c>
      <c r="O25" s="52" t="s">
        <v>14</v>
      </c>
      <c r="P25" s="20" t="str">
        <f>IF(F19="","",IF(T25&gt;0.751,0,IF(T25&gt;0.501,3,IF(T25&gt;0.251,2,IF(T25&gt;0,1,0)))))</f>
        <v/>
      </c>
      <c r="Q25" s="105" t="s">
        <v>116</v>
      </c>
      <c r="R25" s="167" t="str">
        <f>IF($G$4&gt;0,IF($G$4&lt;7,(VLOOKUP($G$4,'table colonne'!$A$16:K$21,11,FALSE)),""),"")</f>
        <v/>
      </c>
      <c r="S25" s="178" t="e">
        <f>ROUNDDOWN(R25,0)</f>
        <v>#VALUE!</v>
      </c>
      <c r="T25" s="178" t="e">
        <f>R25-S25</f>
        <v>#VALUE!</v>
      </c>
      <c r="U25" s="16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8.4499999999999993" customHeight="1" x14ac:dyDescent="0.25">
      <c r="B26" s="11"/>
      <c r="C26" s="11"/>
      <c r="D26" s="11"/>
      <c r="E26" s="164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05"/>
      <c r="R26" s="166"/>
      <c r="S26" s="166"/>
      <c r="T26" s="166"/>
      <c r="U26" s="16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x14ac:dyDescent="0.25">
      <c r="B27" s="11"/>
      <c r="C27" s="11"/>
      <c r="D27" s="11"/>
      <c r="E27" s="164" t="s">
        <v>155</v>
      </c>
      <c r="F27" s="20" t="str">
        <f>IF(F19="","",(IF(G4&lt;7,IF(G4&gt;3,6,IF(G4&gt;0,8,0)))))</f>
        <v/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05"/>
      <c r="R27" s="166"/>
      <c r="S27" s="166"/>
      <c r="T27" s="166"/>
      <c r="U27" s="16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ht="8.4499999999999993" customHeight="1" x14ac:dyDescent="0.25">
      <c r="B28" s="11"/>
      <c r="C28" s="11"/>
      <c r="D28" s="11"/>
      <c r="E28" s="164"/>
      <c r="F28" s="56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05"/>
      <c r="R28" s="166"/>
      <c r="S28" s="166"/>
      <c r="T28" s="166"/>
      <c r="U28" s="16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ht="16.149999999999999" customHeight="1" x14ac:dyDescent="0.25">
      <c r="B29" s="136"/>
      <c r="C29" s="162"/>
      <c r="D29" s="138"/>
      <c r="E29" s="165" t="s">
        <v>150</v>
      </c>
      <c r="F29" s="163" t="str">
        <f>IF(G4&gt;0,IF(G4&lt;4,"Couronnement ESPLANADE 31 x 31 po (787 x 787 mm)",IF(G4&lt;7,"Couronnement CAPITA 33 x 33 po (838 x 838 mm)","")),"")</f>
        <v/>
      </c>
      <c r="G29" s="142"/>
      <c r="H29" s="143"/>
      <c r="I29" s="143"/>
      <c r="J29" s="143"/>
      <c r="K29" s="143"/>
      <c r="L29" s="143"/>
      <c r="M29" s="143"/>
      <c r="N29" s="143"/>
      <c r="O29" s="144"/>
      <c r="P29" s="141"/>
      <c r="Q29" s="141"/>
      <c r="R29" s="166"/>
      <c r="S29" s="166"/>
      <c r="T29" s="166"/>
      <c r="U29" s="16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ht="21" customHeight="1" x14ac:dyDescent="0.25">
      <c r="B30" s="136"/>
      <c r="C30" s="137"/>
      <c r="D30" s="138"/>
      <c r="E30" s="139"/>
      <c r="F30" s="140"/>
      <c r="G30" s="136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66"/>
      <c r="S30" s="166"/>
      <c r="T30" s="166"/>
      <c r="U30" s="16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171" t="s">
        <v>102</v>
      </c>
      <c r="D31" s="87"/>
      <c r="E31" s="87"/>
      <c r="F31" s="87"/>
      <c r="G31" s="87"/>
      <c r="H31" s="87"/>
      <c r="I31" s="150"/>
      <c r="J31" s="87"/>
      <c r="K31" s="87"/>
      <c r="L31" s="87"/>
      <c r="M31" s="87"/>
      <c r="N31" s="87"/>
      <c r="O31" s="89" t="s">
        <v>8</v>
      </c>
      <c r="P31" s="11"/>
      <c r="Q31" s="105"/>
      <c r="R31" s="166"/>
      <c r="S31" s="166"/>
      <c r="T31" s="166"/>
      <c r="U31" s="16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ht="7.9" customHeight="1" x14ac:dyDescent="0.25">
      <c r="B32" s="11"/>
      <c r="C32" s="172"/>
      <c r="D32" s="11"/>
      <c r="E32" s="11"/>
      <c r="F32" s="11"/>
      <c r="G32" s="11"/>
      <c r="H32" s="11"/>
      <c r="I32" s="103"/>
      <c r="J32" s="11"/>
      <c r="K32" s="11"/>
      <c r="L32" s="11"/>
      <c r="M32" s="11"/>
      <c r="N32" s="11"/>
      <c r="O32" s="92"/>
      <c r="P32" s="11"/>
      <c r="Q32" s="105"/>
      <c r="R32" s="166"/>
      <c r="S32" s="166"/>
      <c r="T32" s="166"/>
      <c r="U32" s="16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172" t="s">
        <v>38</v>
      </c>
      <c r="D33" s="11"/>
      <c r="E33" s="11"/>
      <c r="F33" s="11"/>
      <c r="G33" s="11" t="s">
        <v>75</v>
      </c>
      <c r="H33" s="11"/>
      <c r="I33" s="103"/>
      <c r="J33" s="11"/>
      <c r="K33" s="11"/>
      <c r="L33" s="11"/>
      <c r="M33" s="11"/>
      <c r="N33" s="11"/>
      <c r="O33" s="92"/>
      <c r="P33" s="11"/>
      <c r="Q33" s="105"/>
      <c r="R33" s="166"/>
      <c r="S33" s="166"/>
      <c r="T33" s="166"/>
      <c r="U33" s="16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1"/>
      <c r="C34" s="172" t="s">
        <v>40</v>
      </c>
      <c r="D34" s="11"/>
      <c r="E34" s="11"/>
      <c r="F34" s="11"/>
      <c r="G34" s="11" t="s">
        <v>110</v>
      </c>
      <c r="H34" s="11"/>
      <c r="I34" s="103"/>
      <c r="J34" s="11"/>
      <c r="K34" s="11"/>
      <c r="L34" s="11"/>
      <c r="M34" s="11"/>
      <c r="N34" s="11"/>
      <c r="O34" s="92"/>
      <c r="P34" s="11"/>
      <c r="Q34" s="105"/>
      <c r="R34" s="166"/>
      <c r="S34" s="166"/>
      <c r="T34" s="166"/>
      <c r="U34" s="16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172" t="s">
        <v>42</v>
      </c>
      <c r="D35" s="11"/>
      <c r="E35" s="11"/>
      <c r="F35" s="11"/>
      <c r="G35" s="11" t="s">
        <v>76</v>
      </c>
      <c r="H35" s="11"/>
      <c r="I35" s="103"/>
      <c r="J35" s="11"/>
      <c r="K35" s="11"/>
      <c r="L35" s="11"/>
      <c r="M35" s="11"/>
      <c r="N35" s="11"/>
      <c r="O35" s="92"/>
      <c r="P35" s="11"/>
      <c r="Q35" s="105"/>
      <c r="R35" s="166"/>
      <c r="S35" s="166"/>
      <c r="T35" s="166"/>
      <c r="U35" s="16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ht="4.1500000000000004" customHeight="1" x14ac:dyDescent="0.25">
      <c r="B36" s="11"/>
      <c r="C36" s="97"/>
      <c r="D36" s="98"/>
      <c r="E36" s="98"/>
      <c r="F36" s="98"/>
      <c r="G36" s="98"/>
      <c r="H36" s="98"/>
      <c r="I36" s="173"/>
      <c r="J36" s="98"/>
      <c r="K36" s="98"/>
      <c r="L36" s="98"/>
      <c r="M36" s="98"/>
      <c r="N36" s="98"/>
      <c r="O36" s="96"/>
      <c r="P36" s="11"/>
      <c r="Q36" s="105"/>
      <c r="R36" s="166"/>
      <c r="S36" s="166"/>
      <c r="T36" s="166"/>
      <c r="U36" s="16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ht="19.149999999999999" customHeight="1" x14ac:dyDescent="0.25">
      <c r="B37" s="11"/>
      <c r="C37" s="176" t="s">
        <v>139</v>
      </c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05"/>
      <c r="Q37" s="105"/>
      <c r="R37" s="166"/>
      <c r="S37" s="166"/>
      <c r="T37" s="166"/>
      <c r="U37" s="16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ht="7.9" customHeight="1" x14ac:dyDescent="0.25">
      <c r="B38" s="11"/>
      <c r="C38" s="106"/>
      <c r="D38" s="106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66"/>
      <c r="S38" s="166"/>
      <c r="T38" s="166"/>
      <c r="U38" s="16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07" t="s">
        <v>143</v>
      </c>
      <c r="C39" s="45"/>
      <c r="D39" s="106" t="s">
        <v>144</v>
      </c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66"/>
      <c r="S39" s="166"/>
      <c r="T39" s="166"/>
      <c r="U39" s="16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108"/>
      <c r="C40" s="109"/>
      <c r="D40" s="110" t="s">
        <v>142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2:48" x14ac:dyDescent="0.25"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</sheetData>
  <sheetProtection password="DD81" sheet="1" objects="1" scenarios="1" selectLockedCells="1"/>
  <mergeCells count="6">
    <mergeCell ref="C7:F7"/>
    <mergeCell ref="I7:O7"/>
    <mergeCell ref="L21:L23"/>
    <mergeCell ref="C1:Q1"/>
    <mergeCell ref="C2:Q2"/>
    <mergeCell ref="C15:Q15"/>
  </mergeCells>
  <printOptions horizontalCentered="1"/>
  <pageMargins left="0.62992125984251968" right="0.62992125984251968" top="0.35433070866141736" bottom="0.35433070866141736" header="0.31496062992125984" footer="0.31496062992125984"/>
  <pageSetup scale="97" fitToHeight="0" orientation="portrait" r:id="rId1"/>
  <headerFooter>
    <oddFooter>&amp;C&amp;G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AV39"/>
  <sheetViews>
    <sheetView showGridLines="0" zoomScaleNormal="100" zoomScaleSheetLayoutView="92" workbookViewId="0">
      <pane ySplit="2" topLeftCell="A3" activePane="bottomLeft" state="frozen"/>
      <selection activeCell="C7" sqref="C7:G7"/>
      <selection pane="bottomLeft" activeCell="G4" sqref="G4"/>
    </sheetView>
  </sheetViews>
  <sheetFormatPr baseColWidth="10" defaultColWidth="11.5703125" defaultRowHeight="15" x14ac:dyDescent="0.25"/>
  <cols>
    <col min="1" max="1" width="11.5703125" style="2"/>
    <col min="2" max="2" width="3.42578125" style="2" customWidth="1"/>
    <col min="3" max="3" width="3" style="2" customWidth="1"/>
    <col min="4" max="4" width="4.42578125" style="2" customWidth="1"/>
    <col min="5" max="5" width="20.5703125" style="2" customWidth="1"/>
    <col min="6" max="6" width="7.140625" style="2" customWidth="1"/>
    <col min="7" max="7" width="5.28515625" style="2" customWidth="1"/>
    <col min="8" max="8" width="1.5703125" style="2" customWidth="1"/>
    <col min="9" max="9" width="5.85546875" style="2" customWidth="1"/>
    <col min="10" max="10" width="3.85546875" style="2" customWidth="1"/>
    <col min="11" max="11" width="5.5703125" style="2" customWidth="1"/>
    <col min="12" max="12" width="6.7109375" style="2" customWidth="1"/>
    <col min="13" max="13" width="7.140625" style="2" customWidth="1"/>
    <col min="14" max="14" width="6.28515625" style="2" customWidth="1"/>
    <col min="15" max="15" width="7.7109375" style="2" customWidth="1"/>
    <col min="16" max="18" width="11.5703125" style="166"/>
    <col min="19" max="48" width="11.5703125" style="6"/>
    <col min="49" max="16384" width="11.5703125" style="2"/>
  </cols>
  <sheetData>
    <row r="1" spans="2:48" s="202" customFormat="1" ht="29.45" customHeight="1" x14ac:dyDescent="0.25">
      <c r="B1" s="203"/>
      <c r="C1" s="217" t="s">
        <v>11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09"/>
      <c r="Q1" s="209"/>
      <c r="R1" s="200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9.45" customHeight="1" x14ac:dyDescent="0.25">
      <c r="B2" s="203"/>
      <c r="C2" s="217" t="s">
        <v>103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09"/>
      <c r="Q2" s="209"/>
      <c r="R2" s="200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7.9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66"/>
      <c r="Q3" s="166"/>
      <c r="R3" s="16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6.149999999999999" customHeight="1" x14ac:dyDescent="0.25">
      <c r="B4" s="11"/>
      <c r="C4" s="11" t="s">
        <v>137</v>
      </c>
      <c r="D4" s="11"/>
      <c r="E4" s="68"/>
      <c r="F4" s="11"/>
      <c r="G4" s="9"/>
      <c r="H4" s="11">
        <v>2</v>
      </c>
      <c r="I4" s="11"/>
      <c r="J4" s="11"/>
      <c r="K4" s="11"/>
      <c r="L4" s="11"/>
      <c r="M4" s="11"/>
      <c r="N4" s="11"/>
      <c r="O4" s="11"/>
      <c r="P4" s="166"/>
      <c r="Q4" s="166"/>
      <c r="R4" s="16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ht="14.45" customHeight="1" x14ac:dyDescent="0.25">
      <c r="B5" s="11"/>
      <c r="C5" s="85" t="s">
        <v>138</v>
      </c>
      <c r="D5" s="11"/>
      <c r="E5" s="68"/>
      <c r="F5" s="11"/>
      <c r="G5" s="11"/>
      <c r="H5" s="11"/>
      <c r="I5" s="11"/>
      <c r="J5" s="11"/>
      <c r="K5" s="11"/>
      <c r="L5" s="11"/>
      <c r="M5" s="11"/>
      <c r="N5" s="11"/>
      <c r="O5" s="11"/>
      <c r="P5" s="166"/>
      <c r="Q5" s="166"/>
      <c r="R5" s="16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6" customHeight="1" x14ac:dyDescent="0.25">
      <c r="B6" s="11"/>
      <c r="C6" s="86"/>
      <c r="D6" s="87"/>
      <c r="E6" s="88"/>
      <c r="F6" s="89"/>
      <c r="G6" s="11"/>
      <c r="H6" s="86"/>
      <c r="I6" s="87"/>
      <c r="J6" s="87"/>
      <c r="K6" s="87"/>
      <c r="L6" s="87"/>
      <c r="M6" s="87"/>
      <c r="N6" s="89"/>
      <c r="O6" s="11"/>
      <c r="P6" s="166"/>
      <c r="Q6" s="166"/>
      <c r="R6" s="16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ht="26.45" customHeight="1" x14ac:dyDescent="0.25">
      <c r="B7" s="11"/>
      <c r="C7" s="223" t="s">
        <v>109</v>
      </c>
      <c r="D7" s="218"/>
      <c r="E7" s="218"/>
      <c r="F7" s="219"/>
      <c r="G7" s="90"/>
      <c r="H7" s="223" t="s">
        <v>108</v>
      </c>
      <c r="I7" s="218"/>
      <c r="J7" s="218"/>
      <c r="K7" s="218"/>
      <c r="L7" s="218"/>
      <c r="M7" s="218"/>
      <c r="N7" s="219"/>
      <c r="O7" s="11"/>
      <c r="P7" s="166"/>
      <c r="Q7" s="166"/>
      <c r="R7" s="16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ht="6" customHeight="1" x14ac:dyDescent="0.25">
      <c r="B8" s="11"/>
      <c r="C8" s="91"/>
      <c r="D8" s="11"/>
      <c r="E8" s="11"/>
      <c r="F8" s="92"/>
      <c r="G8" s="11"/>
      <c r="H8" s="91"/>
      <c r="I8" s="11"/>
      <c r="J8" s="11"/>
      <c r="K8" s="11"/>
      <c r="L8" s="11"/>
      <c r="M8" s="11"/>
      <c r="N8" s="92"/>
      <c r="O8" s="11"/>
      <c r="P8" s="166"/>
      <c r="Q8" s="166"/>
      <c r="R8" s="16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5" customHeight="1" x14ac:dyDescent="0.25">
      <c r="B9" s="11"/>
      <c r="C9" s="91"/>
      <c r="D9" s="93">
        <v>1</v>
      </c>
      <c r="E9" s="21" t="s">
        <v>97</v>
      </c>
      <c r="F9" s="92"/>
      <c r="G9" s="11"/>
      <c r="H9" s="91"/>
      <c r="I9" s="93">
        <v>4</v>
      </c>
      <c r="J9" s="11"/>
      <c r="K9" s="11" t="s">
        <v>97</v>
      </c>
      <c r="L9" s="11"/>
      <c r="M9" s="11"/>
      <c r="N9" s="92"/>
      <c r="O9" s="11"/>
      <c r="P9" s="166"/>
      <c r="Q9" s="166"/>
      <c r="R9" s="16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6" customHeight="1" x14ac:dyDescent="0.25">
      <c r="B10" s="11"/>
      <c r="C10" s="91"/>
      <c r="D10" s="68"/>
      <c r="E10" s="21"/>
      <c r="F10" s="92"/>
      <c r="G10" s="11"/>
      <c r="H10" s="91"/>
      <c r="I10" s="11"/>
      <c r="J10" s="11"/>
      <c r="K10" s="11"/>
      <c r="L10" s="11"/>
      <c r="M10" s="11"/>
      <c r="N10" s="92"/>
      <c r="O10" s="11"/>
      <c r="P10" s="166"/>
      <c r="Q10" s="166"/>
      <c r="R10" s="16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5" customHeight="1" x14ac:dyDescent="0.25">
      <c r="B11" s="11"/>
      <c r="C11" s="91"/>
      <c r="D11" s="93">
        <v>2</v>
      </c>
      <c r="E11" s="21" t="s">
        <v>44</v>
      </c>
      <c r="F11" s="92"/>
      <c r="G11" s="11"/>
      <c r="H11" s="91"/>
      <c r="I11" s="93">
        <v>5</v>
      </c>
      <c r="J11" s="11"/>
      <c r="K11" s="11" t="s">
        <v>44</v>
      </c>
      <c r="L11" s="11"/>
      <c r="M11" s="11"/>
      <c r="N11" s="92"/>
      <c r="O11" s="11"/>
      <c r="P11" s="166"/>
      <c r="Q11" s="166"/>
      <c r="R11" s="16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ht="6" customHeight="1" x14ac:dyDescent="0.25">
      <c r="B12" s="11"/>
      <c r="C12" s="91"/>
      <c r="D12" s="68"/>
      <c r="E12" s="21"/>
      <c r="F12" s="92"/>
      <c r="G12" s="11"/>
      <c r="H12" s="91"/>
      <c r="I12" s="11"/>
      <c r="J12" s="11"/>
      <c r="K12" s="11"/>
      <c r="L12" s="11"/>
      <c r="M12" s="11"/>
      <c r="N12" s="92"/>
      <c r="O12" s="11"/>
      <c r="P12" s="166"/>
      <c r="Q12" s="166"/>
      <c r="R12" s="16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5" customHeight="1" x14ac:dyDescent="0.25">
      <c r="B13" s="11"/>
      <c r="C13" s="91"/>
      <c r="D13" s="93">
        <v>3</v>
      </c>
      <c r="E13" s="21" t="s">
        <v>45</v>
      </c>
      <c r="F13" s="92"/>
      <c r="G13" s="11"/>
      <c r="H13" s="91"/>
      <c r="I13" s="93">
        <v>6</v>
      </c>
      <c r="J13" s="11"/>
      <c r="K13" s="11" t="s">
        <v>45</v>
      </c>
      <c r="L13" s="11"/>
      <c r="M13" s="11"/>
      <c r="N13" s="92"/>
      <c r="O13" s="11"/>
      <c r="P13" s="166"/>
      <c r="Q13" s="166"/>
      <c r="R13" s="16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ht="6" customHeight="1" x14ac:dyDescent="0.25">
      <c r="B14" s="11"/>
      <c r="C14" s="94"/>
      <c r="D14" s="95"/>
      <c r="E14" s="95"/>
      <c r="F14" s="96"/>
      <c r="G14" s="11"/>
      <c r="H14" s="97"/>
      <c r="I14" s="98"/>
      <c r="J14" s="98"/>
      <c r="K14" s="98"/>
      <c r="L14" s="98"/>
      <c r="M14" s="98"/>
      <c r="N14" s="96"/>
      <c r="O14" s="11"/>
      <c r="P14" s="166"/>
      <c r="Q14" s="166"/>
      <c r="R14" s="16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ht="19.899999999999999" customHeight="1" x14ac:dyDescent="0.25">
      <c r="B15" s="222" t="s">
        <v>126</v>
      </c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182"/>
      <c r="Q15" s="166"/>
      <c r="R15" s="16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11"/>
      <c r="C16" s="60" t="s">
        <v>6</v>
      </c>
      <c r="D16" s="66"/>
      <c r="E16" s="67"/>
      <c r="F16" s="67"/>
      <c r="G16" s="67"/>
      <c r="H16" s="67"/>
      <c r="I16" s="67"/>
      <c r="J16" s="67"/>
      <c r="K16" s="145"/>
      <c r="L16" s="145"/>
      <c r="M16" s="145"/>
      <c r="N16" s="145"/>
      <c r="O16" s="11"/>
      <c r="P16" s="166"/>
      <c r="Q16" s="166"/>
      <c r="R16" s="16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ht="8.4499999999999993" customHeight="1" x14ac:dyDescent="0.25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66"/>
      <c r="Q17" s="166"/>
      <c r="R17" s="16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13.9" customHeight="1" x14ac:dyDescent="0.25">
      <c r="B18" s="11"/>
      <c r="C18" s="11"/>
      <c r="D18" s="14"/>
      <c r="E18" s="164" t="s">
        <v>94</v>
      </c>
      <c r="F18" s="17" t="str">
        <f>IF($G$4&gt;0,IF($G$4&lt;7,(VLOOKUP($G$4,'table colonne'!$A$25:K$32,4,FALSE)),""),"")</f>
        <v/>
      </c>
      <c r="G18" s="11" t="s">
        <v>54</v>
      </c>
      <c r="H18" s="11"/>
      <c r="I18" s="17" t="str">
        <f>IF($G$4&gt;0,IF($G$4&lt;7,(VLOOKUP($G$4,'table colonne'!$A$25:K$32,5,FALSE)),""),"")</f>
        <v/>
      </c>
      <c r="J18" s="11" t="s">
        <v>55</v>
      </c>
      <c r="K18" s="11"/>
      <c r="L18" s="11"/>
      <c r="M18" s="11"/>
      <c r="N18" s="11"/>
      <c r="O18" s="11"/>
      <c r="P18" s="166"/>
      <c r="Q18" s="166"/>
      <c r="R18" s="16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8.4499999999999993" customHeight="1" x14ac:dyDescent="0.25">
      <c r="B19" s="11"/>
      <c r="C19" s="11"/>
      <c r="D19" s="14"/>
      <c r="E19" s="164"/>
      <c r="F19" s="14"/>
      <c r="G19" s="11"/>
      <c r="H19" s="11"/>
      <c r="I19" s="11"/>
      <c r="J19" s="11"/>
      <c r="K19" s="11"/>
      <c r="L19" s="11"/>
      <c r="M19" s="11"/>
      <c r="N19" s="11"/>
      <c r="O19" s="11"/>
      <c r="P19" s="178" t="s">
        <v>14</v>
      </c>
      <c r="Q19" s="178" t="s">
        <v>117</v>
      </c>
      <c r="R19" s="178" t="s">
        <v>118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13.9" customHeight="1" x14ac:dyDescent="0.25">
      <c r="B20" s="11"/>
      <c r="C20" s="11"/>
      <c r="D20" s="14"/>
      <c r="E20" s="164" t="s">
        <v>101</v>
      </c>
      <c r="F20" s="99" t="str">
        <f>IF($G$4&gt;0,IF($G$4&lt;7,(VLOOKUP($G$4,'table colonne'!$A$25:K$32,7,FALSE)),""),"")</f>
        <v/>
      </c>
      <c r="G20" s="100"/>
      <c r="H20" s="100"/>
      <c r="I20" s="100"/>
      <c r="J20" s="101"/>
      <c r="K20" s="11"/>
      <c r="L20" s="20" t="str">
        <f>IF(F$18="","",IF(R20&gt;0.501,PQ20+1,Q20))</f>
        <v/>
      </c>
      <c r="M20" s="14" t="s">
        <v>14</v>
      </c>
      <c r="N20" s="20" t="str">
        <f>IF(F18="","",IF(R20&gt;0.501,0,IF(R20&gt;0,1,0)))</f>
        <v/>
      </c>
      <c r="O20" s="11" t="s">
        <v>116</v>
      </c>
      <c r="P20" s="167" t="str">
        <f>IF($G$4&gt;0,IF($G$4&lt;7,(VLOOKUP($G$4,'table colonne'!$A$25:K$32,8,FALSE)),""),"")</f>
        <v/>
      </c>
      <c r="Q20" s="178" t="e">
        <f>ROUNDDOWN(P20,0)</f>
        <v>#VALUE!</v>
      </c>
      <c r="R20" s="167" t="e">
        <f>P20-Q20</f>
        <v>#VALUE!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8.4499999999999993" customHeight="1" x14ac:dyDescent="0.25">
      <c r="B21" s="11"/>
      <c r="C21" s="11"/>
      <c r="D21" s="14"/>
      <c r="E21" s="164"/>
      <c r="F21" s="14"/>
      <c r="G21" s="11"/>
      <c r="H21" s="11"/>
      <c r="I21" s="11"/>
      <c r="J21" s="11"/>
      <c r="K21" s="11"/>
      <c r="L21" s="11"/>
      <c r="M21" s="11"/>
      <c r="N21" s="11"/>
      <c r="O21" s="11"/>
      <c r="P21" s="167"/>
      <c r="Q21" s="178"/>
      <c r="R21" s="167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13.9" customHeight="1" x14ac:dyDescent="0.25">
      <c r="B22" s="11"/>
      <c r="C22" s="11"/>
      <c r="D22" s="14"/>
      <c r="E22" s="164" t="s">
        <v>115</v>
      </c>
      <c r="F22" s="99" t="str">
        <f>IF($G$4&gt;0,IF($G$4&lt;7,(VLOOKUP($G$4,'table colonne'!$A$25:K$32,9,FALSE)),""),"")</f>
        <v/>
      </c>
      <c r="G22" s="100"/>
      <c r="H22" s="100"/>
      <c r="I22" s="102"/>
      <c r="J22" s="101"/>
      <c r="K22" s="11"/>
      <c r="L22" s="20" t="str">
        <f>IF(F18="","",IF(R22&gt;0.501,PQ22+1,Q22))</f>
        <v/>
      </c>
      <c r="M22" s="14" t="s">
        <v>14</v>
      </c>
      <c r="N22" s="20" t="str">
        <f>IF(F18="","",IF(R22&gt;0.751,0,ROUNDUP(R22/0.25,0)))</f>
        <v/>
      </c>
      <c r="O22" s="11" t="s">
        <v>116</v>
      </c>
      <c r="P22" s="167" t="str">
        <f>IF($G$4&gt;0,IF($G$4&lt;7,(VLOOKUP($G$4,'table colonne'!$A$25:K$32,10,FALSE)),""),"")</f>
        <v/>
      </c>
      <c r="Q22" s="178" t="e">
        <f>ROUNDDOWN(P22,0)</f>
        <v>#VALUE!</v>
      </c>
      <c r="R22" s="167" t="e">
        <f>P22-Q22</f>
        <v>#VALUE!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8.4499999999999993" customHeight="1" x14ac:dyDescent="0.25">
      <c r="B23" s="11"/>
      <c r="C23" s="11"/>
      <c r="D23" s="14"/>
      <c r="E23" s="164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66"/>
      <c r="Q23" s="166"/>
      <c r="R23" s="16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13.9" customHeight="1" x14ac:dyDescent="0.25">
      <c r="B24" s="11"/>
      <c r="C24" s="11"/>
      <c r="D24" s="14"/>
      <c r="E24" s="164" t="s">
        <v>121</v>
      </c>
      <c r="F24" s="20" t="str">
        <f>IF(F18="","",4)</f>
        <v/>
      </c>
      <c r="G24" s="11"/>
      <c r="H24" s="11"/>
      <c r="I24" s="103"/>
      <c r="J24" s="11"/>
      <c r="K24" s="11"/>
      <c r="L24" s="56"/>
      <c r="M24" s="56"/>
      <c r="N24" s="56"/>
      <c r="O24" s="11"/>
      <c r="P24" s="167"/>
      <c r="Q24" s="178"/>
      <c r="R24" s="167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8.4499999999999993" customHeight="1" x14ac:dyDescent="0.25">
      <c r="B25" s="11"/>
      <c r="C25" s="11"/>
      <c r="D25" s="11"/>
      <c r="E25" s="164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66"/>
      <c r="Q25" s="166"/>
      <c r="R25" s="16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13.9" customHeight="1" x14ac:dyDescent="0.25">
      <c r="B26" s="146"/>
      <c r="C26" s="162"/>
      <c r="D26" s="160"/>
      <c r="E26" s="165" t="s">
        <v>148</v>
      </c>
      <c r="F26" s="161" t="str">
        <f>IF(G4&gt;0,IF(G4&lt;4,"Couronnement ESPLANADE 25 X 25 po (635 x635 mm)",IF(G4&lt;7,"Couronnement ESPLANADE 27 X 27 po (686 x 686 mm)","")),"")</f>
        <v/>
      </c>
      <c r="G26" s="147"/>
      <c r="H26" s="148"/>
      <c r="I26" s="148"/>
      <c r="J26" s="148"/>
      <c r="K26" s="148"/>
      <c r="L26" s="148"/>
      <c r="M26" s="148"/>
      <c r="N26" s="149"/>
      <c r="O26" s="146"/>
      <c r="P26" s="166"/>
      <c r="Q26" s="166"/>
      <c r="R26" s="16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x14ac:dyDescent="0.2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66"/>
      <c r="Q27" s="166"/>
      <c r="R27" s="16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11"/>
      <c r="C28" s="177" t="s">
        <v>102</v>
      </c>
      <c r="D28" s="87"/>
      <c r="E28" s="87"/>
      <c r="F28" s="87"/>
      <c r="G28" s="87"/>
      <c r="H28" s="87"/>
      <c r="I28" s="150"/>
      <c r="J28" s="87"/>
      <c r="K28" s="87"/>
      <c r="L28" s="87"/>
      <c r="M28" s="87" t="s">
        <v>8</v>
      </c>
      <c r="N28" s="89"/>
      <c r="O28" s="11"/>
      <c r="P28" s="166"/>
      <c r="Q28" s="166"/>
      <c r="R28" s="16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ht="7.15" customHeight="1" x14ac:dyDescent="0.25">
      <c r="B29" s="11"/>
      <c r="C29" s="172"/>
      <c r="D29" s="11"/>
      <c r="E29" s="11"/>
      <c r="F29" s="11"/>
      <c r="G29" s="11"/>
      <c r="H29" s="11"/>
      <c r="I29" s="103"/>
      <c r="J29" s="11"/>
      <c r="K29" s="11"/>
      <c r="L29" s="11"/>
      <c r="M29" s="11"/>
      <c r="N29" s="92"/>
      <c r="O29" s="11"/>
      <c r="P29" s="166"/>
      <c r="Q29" s="166"/>
      <c r="R29" s="16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11"/>
      <c r="C30" s="172" t="s">
        <v>88</v>
      </c>
      <c r="D30" s="11"/>
      <c r="E30" s="11"/>
      <c r="F30" s="11" t="s">
        <v>89</v>
      </c>
      <c r="G30" s="11"/>
      <c r="H30" s="103"/>
      <c r="I30" s="11"/>
      <c r="J30" s="11"/>
      <c r="K30" s="11"/>
      <c r="L30" s="11"/>
      <c r="M30" s="11"/>
      <c r="N30" s="92"/>
      <c r="O30" s="11"/>
      <c r="P30" s="166"/>
      <c r="Q30" s="166"/>
      <c r="R30" s="16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172" t="s">
        <v>42</v>
      </c>
      <c r="D31" s="11"/>
      <c r="E31" s="11"/>
      <c r="F31" s="11" t="s">
        <v>76</v>
      </c>
      <c r="G31" s="11"/>
      <c r="H31" s="103"/>
      <c r="I31" s="11"/>
      <c r="J31" s="11"/>
      <c r="K31" s="11"/>
      <c r="L31" s="11"/>
      <c r="M31" s="11"/>
      <c r="N31" s="92"/>
      <c r="O31" s="11"/>
      <c r="P31" s="166"/>
      <c r="Q31" s="166"/>
      <c r="R31" s="16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ht="7.15" customHeight="1" x14ac:dyDescent="0.25">
      <c r="B32" s="11"/>
      <c r="C32" s="97"/>
      <c r="D32" s="98"/>
      <c r="E32" s="98"/>
      <c r="F32" s="98"/>
      <c r="G32" s="98"/>
      <c r="H32" s="98"/>
      <c r="I32" s="173"/>
      <c r="J32" s="98"/>
      <c r="K32" s="98"/>
      <c r="L32" s="98"/>
      <c r="M32" s="98"/>
      <c r="N32" s="96"/>
      <c r="O32" s="11"/>
      <c r="P32" s="166"/>
      <c r="Q32" s="166"/>
      <c r="R32" s="16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85"/>
      <c r="D33" s="11"/>
      <c r="E33" s="11"/>
      <c r="F33" s="11"/>
      <c r="G33" s="11"/>
      <c r="H33" s="11"/>
      <c r="I33" s="103"/>
      <c r="J33" s="11"/>
      <c r="K33" s="11"/>
      <c r="L33" s="11"/>
      <c r="M33" s="11"/>
      <c r="N33" s="11"/>
      <c r="O33" s="11"/>
      <c r="P33" s="166"/>
      <c r="Q33" s="166"/>
      <c r="R33" s="16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ht="13.15" customHeight="1" x14ac:dyDescent="0.25">
      <c r="B34" s="11"/>
      <c r="C34" s="85" t="s">
        <v>139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66"/>
      <c r="Q34" s="166"/>
      <c r="R34" s="16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66"/>
      <c r="Q35" s="166"/>
      <c r="R35" s="16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66"/>
      <c r="Q36" s="166"/>
      <c r="R36" s="16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66"/>
      <c r="Q37" s="166"/>
      <c r="R37" s="16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2:48" x14ac:dyDescent="0.25"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</sheetData>
  <sheetProtection password="DD81" sheet="1" objects="1" scenarios="1" selectLockedCells="1"/>
  <mergeCells count="5">
    <mergeCell ref="C7:F7"/>
    <mergeCell ref="C1:O1"/>
    <mergeCell ref="C2:O2"/>
    <mergeCell ref="B15:O15"/>
    <mergeCell ref="H7:N7"/>
  </mergeCells>
  <printOptions horizontalCentered="1"/>
  <pageMargins left="0.62992125984251968" right="0.62992125984251968" top="0.35433070866141736" bottom="0.35433070866141736" header="0.31496062992125984" footer="0.31496062992125984"/>
  <pageSetup fitToHeight="0" orientation="portrait" r:id="rId1"/>
  <headerFooter>
    <oddFooter>&amp;C&amp;G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pageSetUpPr fitToPage="1"/>
  </sheetPr>
  <dimension ref="B1:AV42"/>
  <sheetViews>
    <sheetView showGridLines="0" zoomScaleNormal="100" zoomScaleSheetLayoutView="130" workbookViewId="0">
      <selection activeCell="E4" sqref="E4:E11"/>
    </sheetView>
  </sheetViews>
  <sheetFormatPr baseColWidth="10" defaultColWidth="11.5703125" defaultRowHeight="15" x14ac:dyDescent="0.25"/>
  <cols>
    <col min="1" max="1" width="11.5703125" style="2"/>
    <col min="2" max="2" width="11.28515625" style="27" customWidth="1"/>
    <col min="3" max="3" width="4.7109375" style="27" customWidth="1"/>
    <col min="4" max="4" width="16.28515625" style="2" customWidth="1"/>
    <col min="5" max="11" width="7.140625" style="2" customWidth="1"/>
    <col min="12" max="12" width="12.5703125" style="2" customWidth="1"/>
    <col min="13" max="13" width="11.5703125" style="2"/>
    <col min="14" max="14" width="8.42578125" style="191" customWidth="1"/>
    <col min="15" max="16" width="6.42578125" style="166" customWidth="1"/>
    <col min="17" max="48" width="11.5703125" style="6"/>
    <col min="49" max="16384" width="11.5703125" style="2"/>
  </cols>
  <sheetData>
    <row r="1" spans="2:48" s="202" customFormat="1" ht="29.45" customHeight="1" x14ac:dyDescent="0.25">
      <c r="B1" s="217" t="s">
        <v>19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08"/>
      <c r="O1" s="200"/>
      <c r="P1" s="200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9.45" customHeight="1" x14ac:dyDescent="0.25">
      <c r="B2" s="217" t="s">
        <v>29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08"/>
      <c r="O2" s="200"/>
      <c r="P2" s="200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16.149999999999999" customHeight="1" x14ac:dyDescent="0.25">
      <c r="B3" s="24"/>
      <c r="C3" s="24"/>
      <c r="D3" s="11"/>
      <c r="E3" s="11"/>
      <c r="F3" s="11"/>
      <c r="G3" s="11"/>
      <c r="H3" s="11"/>
      <c r="I3" s="11"/>
      <c r="J3" s="11"/>
      <c r="K3" s="11"/>
      <c r="L3" s="11"/>
      <c r="M3" s="11"/>
      <c r="N3" s="191"/>
      <c r="O3" s="166"/>
      <c r="P3" s="16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7.45" customHeight="1" x14ac:dyDescent="0.25">
      <c r="B4" s="24"/>
      <c r="C4" s="24"/>
      <c r="D4" s="13" t="s">
        <v>12</v>
      </c>
      <c r="E4" s="8"/>
      <c r="F4" s="14" t="s">
        <v>123</v>
      </c>
      <c r="G4" s="11"/>
      <c r="H4" s="11"/>
      <c r="I4" s="11"/>
      <c r="J4" s="11"/>
      <c r="K4" s="11"/>
      <c r="L4" s="11"/>
      <c r="M4" s="11"/>
      <c r="N4" s="191"/>
      <c r="O4" s="166"/>
      <c r="P4" s="16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24"/>
      <c r="C5" s="24"/>
      <c r="D5" s="11"/>
      <c r="E5" s="68"/>
      <c r="F5" s="11"/>
      <c r="G5" s="11"/>
      <c r="H5" s="11"/>
      <c r="I5" s="11"/>
      <c r="J5" s="11"/>
      <c r="K5" s="11"/>
      <c r="L5" s="11"/>
      <c r="M5" s="11"/>
      <c r="N5" s="191"/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17.45" customHeight="1" x14ac:dyDescent="0.25">
      <c r="B6" s="41" t="s">
        <v>1</v>
      </c>
      <c r="C6" s="24"/>
      <c r="D6" s="11"/>
      <c r="E6" s="188"/>
      <c r="F6" s="14" t="str">
        <f>IF(E$4="","po","m")</f>
        <v>po</v>
      </c>
      <c r="G6" s="39">
        <f>IF(E4="",(IF(N6&lt;(P6+0.01),N6,P6)),(IF(N6&lt;(O6+0.001),N6,O6)))</f>
        <v>0</v>
      </c>
      <c r="H6" s="40" t="str">
        <f>IF(E$4&gt;"","m","po")</f>
        <v>po</v>
      </c>
      <c r="I6" s="11"/>
      <c r="J6" s="11"/>
      <c r="K6" s="11"/>
      <c r="L6" s="11"/>
      <c r="M6" s="11"/>
      <c r="N6" s="191">
        <f>IF(E4="",3.5*(ROUNDUP(E6/3.5,0)),0.09*(ROUNDUP(E6/0.09,0)))</f>
        <v>0</v>
      </c>
      <c r="O6" s="166">
        <v>0.89</v>
      </c>
      <c r="P6" s="192">
        <v>35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41" t="s">
        <v>20</v>
      </c>
      <c r="C7" s="24"/>
      <c r="D7" s="11"/>
      <c r="E7" s="68"/>
      <c r="F7" s="11"/>
      <c r="G7" s="226" t="str">
        <f>IF(E4="",(IF(E6&lt;P6+0.01,"Hauteur ajustée au 3,5 po près","Hauteur maximale 35 po")),(IF(E6&lt;O6+0.001,"Hauteur ajustée au 0,09 m près","Hauteur maximale 0,89 m")))</f>
        <v>Hauteur ajustée au 3,5 po près</v>
      </c>
      <c r="H7" s="226"/>
      <c r="I7" s="226"/>
      <c r="J7" s="226"/>
      <c r="K7" s="11"/>
      <c r="L7" s="11"/>
      <c r="M7" s="11"/>
      <c r="N7" s="191"/>
      <c r="O7" s="166"/>
      <c r="P7" s="16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41"/>
      <c r="C8" s="24"/>
      <c r="D8" s="11"/>
      <c r="E8" s="68"/>
      <c r="F8" s="11"/>
      <c r="G8" s="11"/>
      <c r="H8" s="11"/>
      <c r="I8" s="11"/>
      <c r="J8" s="11"/>
      <c r="K8" s="11"/>
      <c r="L8" s="11"/>
      <c r="M8" s="11"/>
      <c r="N8" s="191"/>
      <c r="O8" s="166"/>
      <c r="P8" s="16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7.45" customHeight="1" x14ac:dyDescent="0.25">
      <c r="B9" s="41" t="s">
        <v>2</v>
      </c>
      <c r="C9" s="24"/>
      <c r="D9" s="11"/>
      <c r="E9" s="189"/>
      <c r="F9" s="14" t="str">
        <f>IF(E$4="","pi","m")</f>
        <v>pi</v>
      </c>
      <c r="G9" s="11"/>
      <c r="H9" s="11"/>
      <c r="I9" s="11"/>
      <c r="J9" s="11"/>
      <c r="K9" s="11"/>
      <c r="L9" s="11"/>
      <c r="M9" s="11"/>
      <c r="N9" s="191"/>
      <c r="O9" s="166"/>
      <c r="P9" s="16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41"/>
      <c r="C10" s="24"/>
      <c r="D10" s="11"/>
      <c r="E10" s="68"/>
      <c r="F10" s="11"/>
      <c r="G10" s="11"/>
      <c r="H10" s="11"/>
      <c r="I10" s="11"/>
      <c r="J10" s="11"/>
      <c r="K10" s="11"/>
      <c r="L10" s="11"/>
      <c r="M10" s="11"/>
      <c r="N10" s="191"/>
      <c r="O10" s="166"/>
      <c r="P10" s="16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7.45" customHeight="1" x14ac:dyDescent="0.25">
      <c r="B11" s="41" t="s">
        <v>3</v>
      </c>
      <c r="C11" s="24"/>
      <c r="D11" s="11"/>
      <c r="E11" s="9"/>
      <c r="F11" s="14"/>
      <c r="G11" s="11"/>
      <c r="H11" s="11"/>
      <c r="I11" s="11"/>
      <c r="J11" s="11"/>
      <c r="K11" s="11"/>
      <c r="L11" s="11"/>
      <c r="M11" s="11"/>
      <c r="N11" s="191"/>
      <c r="O11" s="166"/>
      <c r="P11" s="16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41"/>
      <c r="C12" s="24"/>
      <c r="D12" s="11"/>
      <c r="E12" s="68"/>
      <c r="F12" s="11"/>
      <c r="G12" s="11"/>
      <c r="H12" s="11"/>
      <c r="I12" s="11"/>
      <c r="J12" s="11"/>
      <c r="K12" s="11"/>
      <c r="L12" s="11"/>
      <c r="M12" s="11"/>
      <c r="N12" s="191"/>
      <c r="O12" s="166"/>
      <c r="P12" s="16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41" t="s">
        <v>18</v>
      </c>
      <c r="C13" s="24"/>
      <c r="D13" s="11"/>
      <c r="E13" s="187">
        <f>IF(E4="",(E9*(G6+3.5)/12),((G6+0.09)*E9))</f>
        <v>0</v>
      </c>
      <c r="F13" s="14" t="str">
        <f>IF(E$4="","pi²","m²")</f>
        <v>pi²</v>
      </c>
      <c r="G13" s="11"/>
      <c r="H13" s="16"/>
      <c r="I13" s="11"/>
      <c r="J13" s="11"/>
      <c r="K13" s="11"/>
      <c r="L13" s="11"/>
      <c r="M13" s="11"/>
      <c r="N13" s="191"/>
      <c r="O13" s="166"/>
      <c r="P13" s="16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42" t="s">
        <v>13</v>
      </c>
      <c r="C14" s="28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91"/>
      <c r="O14" s="166"/>
      <c r="P14" s="16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41"/>
      <c r="C15" s="24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91"/>
      <c r="O15" s="166"/>
      <c r="P15" s="16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63" t="s">
        <v>6</v>
      </c>
      <c r="C16" s="64"/>
      <c r="D16" s="65"/>
      <c r="E16" s="65"/>
      <c r="F16" s="65"/>
      <c r="G16" s="65"/>
      <c r="H16" s="65"/>
      <c r="I16" s="65"/>
      <c r="J16" s="11"/>
      <c r="K16" s="11"/>
      <c r="L16" s="11"/>
      <c r="M16" s="11"/>
      <c r="N16" s="191"/>
      <c r="O16" s="166"/>
      <c r="P16" s="16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41"/>
      <c r="C17" s="24"/>
      <c r="D17" s="11"/>
      <c r="E17" s="11"/>
      <c r="F17" s="68"/>
      <c r="G17" s="11"/>
      <c r="H17" s="68"/>
      <c r="I17" s="11"/>
      <c r="J17" s="11"/>
      <c r="K17" s="11"/>
      <c r="L17" s="11"/>
      <c r="M17" s="11"/>
      <c r="N17" s="191" t="s">
        <v>14</v>
      </c>
      <c r="O17" s="166" t="s">
        <v>117</v>
      </c>
      <c r="P17" s="166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2.9" customHeight="1" x14ac:dyDescent="0.25">
      <c r="B18" s="41" t="s">
        <v>33</v>
      </c>
      <c r="C18" s="24"/>
      <c r="D18" s="11"/>
      <c r="E18" s="11"/>
      <c r="F18" s="183">
        <f>IF(E4="",(H18*42.12)+(J18*10.53),(H18*3.92)+(J18*0.98))</f>
        <v>0</v>
      </c>
      <c r="G18" s="11" t="str">
        <f>IF(E$4="","pi²","m²")</f>
        <v>pi²</v>
      </c>
      <c r="H18" s="184">
        <f>IF(P18&gt;0.751,O18+1,O18)</f>
        <v>0</v>
      </c>
      <c r="I18" s="52" t="s">
        <v>14</v>
      </c>
      <c r="J18" s="184">
        <f>IF(P18&gt;0.751,0,IF(P18&gt;0.501,3,IF(P18&gt;0.251,2,IF(P18&gt;0,1,0))))</f>
        <v>0</v>
      </c>
      <c r="K18" s="11" t="s">
        <v>116</v>
      </c>
      <c r="L18" s="11"/>
      <c r="M18" s="11"/>
      <c r="N18" s="191">
        <f>IF(E4="",E13/42,E13/3.92)</f>
        <v>0</v>
      </c>
      <c r="O18" s="215">
        <f>ROUNDDOWN(N18,0)</f>
        <v>0</v>
      </c>
      <c r="P18" s="193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41"/>
      <c r="C19" s="24"/>
      <c r="D19" s="11"/>
      <c r="E19" s="11"/>
      <c r="F19" s="18"/>
      <c r="G19" s="11"/>
      <c r="H19" s="68"/>
      <c r="I19" s="14"/>
      <c r="J19" s="179"/>
      <c r="K19" s="14"/>
      <c r="L19" s="11"/>
      <c r="M19" s="11"/>
      <c r="N19" s="191"/>
      <c r="O19" s="215"/>
      <c r="P19" s="193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2.9" customHeight="1" x14ac:dyDescent="0.25">
      <c r="B20" s="43" t="s">
        <v>34</v>
      </c>
      <c r="C20" s="25"/>
      <c r="D20" s="11"/>
      <c r="E20" s="11"/>
      <c r="F20" s="183">
        <f>IF(E4="",(H20*40.95)+(J20*1.17),(H20*3.8)+(J20*0.11))</f>
        <v>0</v>
      </c>
      <c r="G20" s="11" t="str">
        <f>IF(E$4="","pi²","m²")</f>
        <v>pi²</v>
      </c>
      <c r="H20" s="184">
        <f>IF(P20&gt;0.97,O20+1,O20)</f>
        <v>0</v>
      </c>
      <c r="I20" s="216" t="s">
        <v>14</v>
      </c>
      <c r="J20" s="184">
        <f>IF(P20&gt;0.97,0,ROUNDUP(P20/0.03,0))</f>
        <v>0</v>
      </c>
      <c r="K20" s="11" t="s">
        <v>162</v>
      </c>
      <c r="L20" s="11"/>
      <c r="M20" s="11"/>
      <c r="N20" s="191">
        <f>IF(E4="",E13/41,E13/3.8)</f>
        <v>0</v>
      </c>
      <c r="O20" s="215">
        <f>ROUNDDOWN(N20,0)</f>
        <v>0</v>
      </c>
      <c r="P20" s="193">
        <f>N20-O20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43"/>
      <c r="C21" s="25"/>
      <c r="D21" s="11"/>
      <c r="E21" s="11"/>
      <c r="F21" s="68"/>
      <c r="G21" s="11"/>
      <c r="H21" s="68"/>
      <c r="I21" s="14"/>
      <c r="J21" s="11"/>
      <c r="K21" s="11"/>
      <c r="L21" s="11"/>
      <c r="M21" s="11"/>
      <c r="N21" s="191"/>
      <c r="O21" s="166"/>
      <c r="P21" s="194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2.9" customHeight="1" x14ac:dyDescent="0.25">
      <c r="B22" s="41" t="s">
        <v>17</v>
      </c>
      <c r="C22" s="24"/>
      <c r="D22" s="11"/>
      <c r="E22" s="11"/>
      <c r="F22" s="183">
        <f>IF(E4="",(G6/3.5)*E11,(G6/0.09)*E11)</f>
        <v>0</v>
      </c>
      <c r="G22" s="11" t="s">
        <v>21</v>
      </c>
      <c r="H22" s="185">
        <f>ROUNDUP(F22/50,0)</f>
        <v>0</v>
      </c>
      <c r="I22" s="14" t="s">
        <v>31</v>
      </c>
      <c r="J22" s="11"/>
      <c r="K22" s="11"/>
      <c r="L22" s="11"/>
      <c r="M22" s="11"/>
      <c r="N22" s="191"/>
      <c r="O22" s="166"/>
      <c r="P22" s="194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41"/>
      <c r="C23" s="24"/>
      <c r="D23" s="11"/>
      <c r="E23" s="11"/>
      <c r="F23" s="68"/>
      <c r="G23" s="11"/>
      <c r="H23" s="68"/>
      <c r="I23" s="14"/>
      <c r="J23" s="68"/>
      <c r="K23" s="68"/>
      <c r="L23" s="11"/>
      <c r="M23" s="11"/>
      <c r="N23" s="191"/>
      <c r="O23" s="166"/>
      <c r="P23" s="194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2.9" customHeight="1" x14ac:dyDescent="0.25">
      <c r="B24" s="41" t="s">
        <v>15</v>
      </c>
      <c r="C24" s="24"/>
      <c r="D24" s="11"/>
      <c r="E24" s="11"/>
      <c r="F24" s="184">
        <f>IF(E4="",ROUNDUP(E9*12/15.75,0),ROUNDUP(E9/0.4,0))</f>
        <v>0</v>
      </c>
      <c r="G24" s="11" t="s">
        <v>21</v>
      </c>
      <c r="H24" s="184">
        <f>O24</f>
        <v>0</v>
      </c>
      <c r="I24" s="52" t="s">
        <v>14</v>
      </c>
      <c r="J24" s="184">
        <f>F24-(H24*63)</f>
        <v>0</v>
      </c>
      <c r="K24" s="11" t="s">
        <v>145</v>
      </c>
      <c r="L24" s="11"/>
      <c r="M24" s="11"/>
      <c r="N24" s="191">
        <f>IF(E4="",(E9*12/15.75/63),(E9/0.4/63))</f>
        <v>0</v>
      </c>
      <c r="O24" s="215">
        <f>ROUNDDOWN(N24,0)</f>
        <v>0</v>
      </c>
      <c r="P24" s="193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41"/>
      <c r="C25" s="24"/>
      <c r="D25" s="11"/>
      <c r="E25" s="11"/>
      <c r="F25" s="18"/>
      <c r="G25" s="11"/>
      <c r="H25" s="68"/>
      <c r="I25" s="14"/>
      <c r="J25" s="68"/>
      <c r="K25" s="14"/>
      <c r="L25" s="11"/>
      <c r="M25" s="11"/>
      <c r="N25" s="191"/>
      <c r="O25" s="215"/>
      <c r="P25" s="193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2.9" customHeight="1" x14ac:dyDescent="0.25">
      <c r="B26" s="41" t="s">
        <v>16</v>
      </c>
      <c r="C26" s="24"/>
      <c r="D26" s="11"/>
      <c r="E26" s="11"/>
      <c r="F26" s="184">
        <f>IF(E4="",ROUNDUP(E9*12/15.75,0),ROUNDUP(E9/0.4,0))</f>
        <v>0</v>
      </c>
      <c r="G26" s="11" t="s">
        <v>21</v>
      </c>
      <c r="H26" s="184">
        <f>O26</f>
        <v>0</v>
      </c>
      <c r="I26" s="52" t="s">
        <v>14</v>
      </c>
      <c r="J26" s="184">
        <f>F26-(H26*60)</f>
        <v>0</v>
      </c>
      <c r="K26" s="11" t="s">
        <v>145</v>
      </c>
      <c r="L26" s="11"/>
      <c r="M26" s="11"/>
      <c r="N26" s="191">
        <f>IF(E4="",(E9*12/15.75/60),(E9/0.4/60))</f>
        <v>0</v>
      </c>
      <c r="O26" s="215">
        <f>ROUNDDOWN(N26,0)</f>
        <v>0</v>
      </c>
      <c r="P26" s="193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x14ac:dyDescent="0.25">
      <c r="B27" s="24"/>
      <c r="C27" s="24"/>
      <c r="D27" s="11"/>
      <c r="E27" s="11"/>
      <c r="F27" s="11"/>
      <c r="G27" s="68"/>
      <c r="H27" s="11"/>
      <c r="I27" s="11"/>
      <c r="J27" s="11"/>
      <c r="K27" s="11"/>
      <c r="L27" s="11"/>
      <c r="M27" s="11"/>
      <c r="N27" s="191"/>
      <c r="O27" s="166"/>
      <c r="P27" s="16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24"/>
      <c r="C28" s="24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91"/>
      <c r="O28" s="166"/>
      <c r="P28" s="16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24"/>
      <c r="C29" s="24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91"/>
      <c r="O29" s="166"/>
      <c r="P29" s="16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44" t="s">
        <v>5</v>
      </c>
      <c r="C30" s="46">
        <v>1</v>
      </c>
      <c r="D30" s="53" t="s">
        <v>4</v>
      </c>
      <c r="E30" s="45"/>
      <c r="F30" s="45"/>
      <c r="G30" s="45"/>
      <c r="H30" s="45"/>
      <c r="I30" s="45"/>
      <c r="J30" s="45"/>
      <c r="K30" s="45"/>
      <c r="L30" s="11"/>
      <c r="M30" s="11"/>
      <c r="N30" s="191"/>
      <c r="O30" s="166"/>
      <c r="P30" s="16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44"/>
      <c r="C31" s="46">
        <v>2</v>
      </c>
      <c r="D31" s="54" t="s">
        <v>128</v>
      </c>
      <c r="E31" s="45"/>
      <c r="F31" s="45"/>
      <c r="G31" s="45"/>
      <c r="H31" s="45"/>
      <c r="I31" s="45"/>
      <c r="J31" s="45"/>
      <c r="K31" s="45"/>
      <c r="L31" s="11"/>
      <c r="M31" s="11"/>
      <c r="N31" s="191"/>
      <c r="O31" s="166"/>
      <c r="P31" s="16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44"/>
      <c r="C32" s="46"/>
      <c r="D32" s="55" t="s">
        <v>134</v>
      </c>
      <c r="E32" s="45"/>
      <c r="F32" s="45"/>
      <c r="G32" s="45"/>
      <c r="H32" s="45"/>
      <c r="I32" s="45"/>
      <c r="J32" s="45"/>
      <c r="K32" s="45"/>
      <c r="L32" s="11"/>
      <c r="M32" s="11"/>
      <c r="N32" s="191"/>
      <c r="O32" s="166"/>
      <c r="P32" s="16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44"/>
      <c r="C33" s="46">
        <v>3</v>
      </c>
      <c r="D33" s="55" t="s">
        <v>129</v>
      </c>
      <c r="E33" s="45"/>
      <c r="F33" s="45"/>
      <c r="G33" s="45"/>
      <c r="H33" s="45"/>
      <c r="I33" s="45"/>
      <c r="J33" s="45"/>
      <c r="K33" s="45"/>
      <c r="L33" s="11"/>
      <c r="M33" s="11"/>
      <c r="N33" s="191"/>
      <c r="O33" s="166"/>
      <c r="P33" s="16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44"/>
      <c r="C34" s="46">
        <v>4</v>
      </c>
      <c r="D34" s="55" t="s">
        <v>147</v>
      </c>
      <c r="E34" s="45"/>
      <c r="F34" s="45"/>
      <c r="G34" s="45"/>
      <c r="H34" s="45"/>
      <c r="I34" s="45"/>
      <c r="J34" s="45"/>
      <c r="K34" s="45"/>
      <c r="L34" s="11"/>
      <c r="M34" s="11"/>
      <c r="N34" s="191"/>
      <c r="O34" s="166"/>
      <c r="P34" s="16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44"/>
      <c r="C35" s="46">
        <v>5</v>
      </c>
      <c r="D35" s="55" t="s">
        <v>135</v>
      </c>
      <c r="E35" s="45"/>
      <c r="F35" s="45"/>
      <c r="G35" s="45"/>
      <c r="H35" s="45"/>
      <c r="I35" s="45"/>
      <c r="J35" s="45"/>
      <c r="K35" s="45"/>
      <c r="L35" s="11"/>
      <c r="M35" s="11"/>
      <c r="N35" s="191"/>
      <c r="O35" s="166"/>
      <c r="P35" s="16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44"/>
      <c r="C36" s="46">
        <v>6</v>
      </c>
      <c r="D36" s="55" t="s">
        <v>130</v>
      </c>
      <c r="E36" s="45"/>
      <c r="F36" s="45"/>
      <c r="G36" s="45"/>
      <c r="H36" s="45"/>
      <c r="I36" s="45"/>
      <c r="J36" s="45"/>
      <c r="K36" s="45"/>
      <c r="L36" s="11"/>
      <c r="M36" s="11"/>
      <c r="N36" s="191"/>
      <c r="O36" s="166"/>
      <c r="P36" s="16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44"/>
      <c r="C37" s="46">
        <v>7</v>
      </c>
      <c r="D37" s="53" t="s">
        <v>131</v>
      </c>
      <c r="E37" s="45"/>
      <c r="F37" s="45"/>
      <c r="G37" s="45"/>
      <c r="H37" s="45"/>
      <c r="I37" s="45"/>
      <c r="J37" s="45"/>
      <c r="K37" s="45"/>
      <c r="L37" s="11"/>
      <c r="M37" s="11"/>
      <c r="N37" s="191"/>
      <c r="O37" s="166"/>
      <c r="P37" s="16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44"/>
      <c r="C38" s="46">
        <v>8</v>
      </c>
      <c r="D38" s="53" t="s">
        <v>132</v>
      </c>
      <c r="E38" s="45"/>
      <c r="F38" s="45"/>
      <c r="G38" s="45"/>
      <c r="H38" s="45"/>
      <c r="I38" s="45"/>
      <c r="J38" s="45"/>
      <c r="K38" s="45"/>
      <c r="L38" s="11"/>
      <c r="M38" s="11"/>
      <c r="N38" s="191"/>
      <c r="O38" s="166"/>
      <c r="P38" s="16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44"/>
      <c r="C39" s="46"/>
      <c r="D39" s="55" t="s">
        <v>146</v>
      </c>
      <c r="E39" s="45"/>
      <c r="F39" s="45"/>
      <c r="G39" s="45"/>
      <c r="H39" s="45"/>
      <c r="I39" s="45"/>
      <c r="J39" s="45"/>
      <c r="K39" s="45"/>
      <c r="L39" s="11"/>
      <c r="M39" s="11"/>
      <c r="N39" s="191"/>
      <c r="O39" s="166"/>
      <c r="P39" s="16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4"/>
      <c r="C40" s="46">
        <v>9</v>
      </c>
      <c r="D40" s="55" t="s">
        <v>133</v>
      </c>
      <c r="E40" s="45"/>
      <c r="F40" s="45"/>
      <c r="G40" s="45"/>
      <c r="H40" s="45"/>
      <c r="I40" s="45"/>
      <c r="J40" s="45"/>
      <c r="K40" s="45"/>
      <c r="L40" s="4"/>
      <c r="M40" s="4"/>
    </row>
    <row r="41" spans="2:48" x14ac:dyDescent="0.25">
      <c r="B41" s="44"/>
      <c r="C41" s="46">
        <v>10</v>
      </c>
      <c r="D41" s="45" t="s">
        <v>136</v>
      </c>
      <c r="E41" s="45"/>
      <c r="F41" s="45"/>
      <c r="G41" s="45"/>
      <c r="H41" s="45"/>
      <c r="I41" s="45"/>
      <c r="J41" s="45"/>
      <c r="K41" s="45"/>
      <c r="L41" s="4"/>
      <c r="M41" s="4"/>
    </row>
    <row r="42" spans="2:48" x14ac:dyDescent="0.25">
      <c r="B42" s="44"/>
      <c r="C42" s="44"/>
      <c r="D42" s="45"/>
      <c r="E42" s="45"/>
      <c r="F42" s="45"/>
      <c r="G42" s="45"/>
      <c r="H42" s="45"/>
      <c r="I42" s="45"/>
      <c r="J42" s="45"/>
      <c r="K42" s="45"/>
      <c r="L42" s="4"/>
      <c r="M42" s="4"/>
    </row>
  </sheetData>
  <sheetProtection password="DD81" sheet="1" objects="1" scenarios="1" selectLockedCells="1"/>
  <mergeCells count="4">
    <mergeCell ref="O5:P5"/>
    <mergeCell ref="G7:J7"/>
    <mergeCell ref="B1:M1"/>
    <mergeCell ref="B2:M2"/>
  </mergeCells>
  <conditionalFormatting sqref="G6:J7">
    <cfRule type="containsText" dxfId="7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86" fitToHeight="0" orientation="portrait" r:id="rId1"/>
  <headerFooter>
    <oddFooter>&amp;C&amp;G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AV42"/>
  <sheetViews>
    <sheetView showGridLines="0" zoomScaleNormal="100" zoomScaleSheetLayoutView="130" workbookViewId="0">
      <pane ySplit="2" topLeftCell="A3" activePane="bottomLeft" state="frozen"/>
      <selection activeCell="C7" sqref="C7:G7"/>
      <selection pane="bottomLeft" activeCell="E4" sqref="E4"/>
    </sheetView>
  </sheetViews>
  <sheetFormatPr baseColWidth="10" defaultColWidth="11.5703125" defaultRowHeight="15" x14ac:dyDescent="0.25"/>
  <cols>
    <col min="1" max="1" width="11.5703125" style="2"/>
    <col min="2" max="2" width="11.28515625" style="33" customWidth="1"/>
    <col min="3" max="3" width="4.7109375" style="33" customWidth="1"/>
    <col min="4" max="4" width="16.28515625" style="2" customWidth="1"/>
    <col min="5" max="11" width="7.140625" style="2" customWidth="1"/>
    <col min="12" max="13" width="11.28515625" style="2" customWidth="1"/>
    <col min="14" max="14" width="12.7109375" style="178" customWidth="1"/>
    <col min="15" max="17" width="6.7109375" style="178" customWidth="1"/>
    <col min="18" max="48" width="11.5703125" style="6"/>
    <col min="49" max="16384" width="11.5703125" style="2"/>
  </cols>
  <sheetData>
    <row r="1" spans="2:48" s="202" customFormat="1" ht="25.9" customHeight="1" x14ac:dyDescent="0.25">
      <c r="B1" s="217" t="s">
        <v>19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07"/>
      <c r="N1" s="206"/>
      <c r="O1" s="206"/>
      <c r="P1" s="206"/>
      <c r="Q1" s="206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17" t="s">
        <v>30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07"/>
      <c r="N2" s="206"/>
      <c r="O2" s="206"/>
      <c r="P2" s="206"/>
      <c r="Q2" s="206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16.149999999999999" customHeight="1" x14ac:dyDescent="0.25">
      <c r="B3" s="30"/>
      <c r="C3" s="30"/>
      <c r="D3" s="11"/>
      <c r="E3" s="11"/>
      <c r="F3" s="11"/>
      <c r="G3" s="11"/>
      <c r="H3" s="11"/>
      <c r="I3" s="11"/>
      <c r="J3" s="11"/>
      <c r="K3" s="11"/>
      <c r="L3" s="11"/>
      <c r="M3" s="11"/>
      <c r="N3" s="178"/>
      <c r="O3" s="178"/>
      <c r="P3" s="178"/>
      <c r="Q3" s="178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7.45" customHeight="1" x14ac:dyDescent="0.25">
      <c r="B4" s="30"/>
      <c r="C4" s="30"/>
      <c r="D4" s="13" t="s">
        <v>12</v>
      </c>
      <c r="E4" s="8"/>
      <c r="F4" s="14" t="s">
        <v>123</v>
      </c>
      <c r="G4" s="11"/>
      <c r="H4" s="11"/>
      <c r="I4" s="11"/>
      <c r="J4" s="11"/>
      <c r="K4" s="11"/>
      <c r="L4" s="11"/>
      <c r="M4" s="11"/>
      <c r="N4" s="178"/>
      <c r="O4" s="178"/>
      <c r="P4" s="178"/>
      <c r="Q4" s="178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30"/>
      <c r="C5" s="30"/>
      <c r="D5" s="11"/>
      <c r="E5" s="68"/>
      <c r="F5" s="11"/>
      <c r="G5" s="11"/>
      <c r="H5" s="11"/>
      <c r="I5" s="11"/>
      <c r="J5" s="11"/>
      <c r="K5" s="11"/>
      <c r="L5" s="11"/>
      <c r="M5" s="11"/>
      <c r="N5" s="178"/>
      <c r="O5" s="225" t="s">
        <v>122</v>
      </c>
      <c r="P5" s="225"/>
      <c r="Q5" s="178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17.45" customHeight="1" x14ac:dyDescent="0.25">
      <c r="B6" s="30" t="s">
        <v>1</v>
      </c>
      <c r="C6" s="30"/>
      <c r="D6" s="11"/>
      <c r="E6" s="188"/>
      <c r="F6" s="14" t="str">
        <f>IF(E$4="","po","m")</f>
        <v>po</v>
      </c>
      <c r="G6" s="39">
        <f>IF(E4="",(IF(N6&lt;(P6+0.01),N6,P6)),(IF(N6&lt;(O6+0.001),N6,O6)))</f>
        <v>0</v>
      </c>
      <c r="H6" s="40" t="str">
        <f>IF(E$4&gt;"","m","po")</f>
        <v>po</v>
      </c>
      <c r="I6" s="11"/>
      <c r="J6" s="11"/>
      <c r="K6" s="11"/>
      <c r="L6" s="11"/>
      <c r="M6" s="11"/>
      <c r="N6" s="193">
        <f>IF(E4="",7*(ROUNDUP(E6/7,0)),0.18*(ROUNDUP(E6/0.18,0)))</f>
        <v>0</v>
      </c>
      <c r="O6" s="178">
        <v>0.89</v>
      </c>
      <c r="P6" s="178">
        <v>35</v>
      </c>
      <c r="Q6" s="178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30" t="s">
        <v>20</v>
      </c>
      <c r="C7" s="30"/>
      <c r="D7" s="11"/>
      <c r="E7" s="68"/>
      <c r="F7" s="11"/>
      <c r="G7" s="227" t="str">
        <f>IF(E4="",(IF(E6&lt;P6+0.01,"Hauteur ajustée au 7 po près","Hauteur maximale 35 po")),(IF(E6&lt;O6+0.001,"Hauteur ajustée au 0,18 m près","Hauteur maximale 0,89 m")))</f>
        <v>Hauteur ajustée au 7 po près</v>
      </c>
      <c r="H7" s="227"/>
      <c r="I7" s="227"/>
      <c r="J7" s="227"/>
      <c r="K7" s="11"/>
      <c r="L7" s="11"/>
      <c r="M7" s="11"/>
      <c r="N7" s="178"/>
      <c r="O7" s="178"/>
      <c r="P7" s="178"/>
      <c r="Q7" s="178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30"/>
      <c r="C8" s="30"/>
      <c r="D8" s="11"/>
      <c r="E8" s="68"/>
      <c r="F8" s="11"/>
      <c r="G8" s="11"/>
      <c r="H8" s="11"/>
      <c r="I8" s="11"/>
      <c r="J8" s="11"/>
      <c r="K8" s="11"/>
      <c r="L8" s="11"/>
      <c r="M8" s="11"/>
      <c r="N8" s="178"/>
      <c r="O8" s="178"/>
      <c r="P8" s="178"/>
      <c r="Q8" s="178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7.45" customHeight="1" x14ac:dyDescent="0.25">
      <c r="B9" s="30" t="s">
        <v>2</v>
      </c>
      <c r="C9" s="30"/>
      <c r="D9" s="11"/>
      <c r="E9" s="189"/>
      <c r="F9" s="14" t="str">
        <f>IF(E$4="","pi","m")</f>
        <v>pi</v>
      </c>
      <c r="G9" s="11"/>
      <c r="H9" s="11"/>
      <c r="I9" s="11"/>
      <c r="J9" s="11"/>
      <c r="K9" s="11"/>
      <c r="L9" s="11"/>
      <c r="M9" s="11"/>
      <c r="N9" s="178"/>
      <c r="O9" s="178"/>
      <c r="P9" s="178"/>
      <c r="Q9" s="178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30"/>
      <c r="C10" s="30"/>
      <c r="D10" s="11"/>
      <c r="E10" s="68"/>
      <c r="F10" s="11"/>
      <c r="G10" s="11"/>
      <c r="H10" s="11"/>
      <c r="I10" s="11"/>
      <c r="J10" s="11"/>
      <c r="K10" s="11"/>
      <c r="L10" s="11"/>
      <c r="M10" s="11"/>
      <c r="N10" s="178"/>
      <c r="O10" s="178"/>
      <c r="P10" s="178"/>
      <c r="Q10" s="178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7.45" customHeight="1" x14ac:dyDescent="0.25">
      <c r="B11" s="30" t="s">
        <v>3</v>
      </c>
      <c r="C11" s="30"/>
      <c r="D11" s="11"/>
      <c r="E11" s="190"/>
      <c r="F11" s="14"/>
      <c r="G11" s="11"/>
      <c r="H11" s="11"/>
      <c r="I11" s="11"/>
      <c r="J11" s="11"/>
      <c r="K11" s="11"/>
      <c r="L11" s="11"/>
      <c r="M11" s="11"/>
      <c r="N11" s="178"/>
      <c r="O11" s="178"/>
      <c r="P11" s="178"/>
      <c r="Q11" s="178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30"/>
      <c r="C12" s="30"/>
      <c r="D12" s="11"/>
      <c r="E12" s="68"/>
      <c r="F12" s="11"/>
      <c r="G12" s="11"/>
      <c r="H12" s="11"/>
      <c r="I12" s="11"/>
      <c r="J12" s="11"/>
      <c r="K12" s="11"/>
      <c r="L12" s="11"/>
      <c r="M12" s="11"/>
      <c r="N12" s="178"/>
      <c r="O12" s="178"/>
      <c r="P12" s="178"/>
      <c r="Q12" s="178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30" t="s">
        <v>18</v>
      </c>
      <c r="C13" s="30"/>
      <c r="D13" s="11"/>
      <c r="E13" s="187">
        <f>IF(E4="",(E9*(G6+3.5)/12),((G6+0.09)*E9))</f>
        <v>0</v>
      </c>
      <c r="F13" s="14" t="str">
        <f>IF(E$4="","pi²","m²")</f>
        <v>pi²</v>
      </c>
      <c r="G13" s="11"/>
      <c r="H13" s="16"/>
      <c r="I13" s="11"/>
      <c r="J13" s="11"/>
      <c r="K13" s="11"/>
      <c r="L13" s="11"/>
      <c r="M13" s="11"/>
      <c r="N13" s="178"/>
      <c r="O13" s="178"/>
      <c r="P13" s="178"/>
      <c r="Q13" s="178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30" t="s">
        <v>13</v>
      </c>
      <c r="C14" s="30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78"/>
      <c r="O14" s="178"/>
      <c r="P14" s="178"/>
      <c r="Q14" s="178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30"/>
      <c r="C15" s="30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78"/>
      <c r="O15" s="178"/>
      <c r="P15" s="178"/>
      <c r="Q15" s="178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63" t="s">
        <v>6</v>
      </c>
      <c r="C16" s="64"/>
      <c r="D16" s="65"/>
      <c r="E16" s="65"/>
      <c r="F16" s="65"/>
      <c r="G16" s="65"/>
      <c r="H16" s="65"/>
      <c r="I16" s="65"/>
      <c r="J16" s="11"/>
      <c r="K16" s="11"/>
      <c r="L16" s="11"/>
      <c r="M16" s="11"/>
      <c r="N16" s="178"/>
      <c r="O16" s="178"/>
      <c r="P16" s="178"/>
      <c r="Q16" s="178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ht="14.45" customHeight="1" x14ac:dyDescent="0.25">
      <c r="B17" s="30"/>
      <c r="C17" s="30"/>
      <c r="D17" s="11"/>
      <c r="E17" s="11"/>
      <c r="F17" s="68"/>
      <c r="G17" s="11"/>
      <c r="H17" s="68"/>
      <c r="I17" s="11"/>
      <c r="J17" s="11"/>
      <c r="K17" s="11"/>
      <c r="L17" s="11"/>
      <c r="M17" s="11"/>
      <c r="N17" s="178" t="s">
        <v>14</v>
      </c>
      <c r="O17" s="178" t="s">
        <v>117</v>
      </c>
      <c r="P17" s="178" t="s">
        <v>119</v>
      </c>
      <c r="Q17" s="178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2.9" customHeight="1" x14ac:dyDescent="0.25">
      <c r="B18" s="30" t="s">
        <v>33</v>
      </c>
      <c r="C18" s="30"/>
      <c r="D18" s="11"/>
      <c r="E18" s="11"/>
      <c r="F18" s="183">
        <f>IF(E4="",(H18*46.52)+(J18*11.63),(H18*4.32)+(J18*1.08))</f>
        <v>0</v>
      </c>
      <c r="G18" s="11" t="str">
        <f>IF(E$4="","pi²","m²")</f>
        <v>pi²</v>
      </c>
      <c r="H18" s="184">
        <f>IF(P18&gt;0.751,O18+1,O18)</f>
        <v>0</v>
      </c>
      <c r="I18" s="52" t="s">
        <v>14</v>
      </c>
      <c r="J18" s="184">
        <f>IF(P18&gt;0.751,0,IF(P18&gt;0.501,3,IF(P18&gt;0.251,2,IF(P18&gt;0,1,0))))</f>
        <v>0</v>
      </c>
      <c r="K18" s="11" t="s">
        <v>116</v>
      </c>
      <c r="L18" s="11"/>
      <c r="M18" s="11"/>
      <c r="N18" s="191">
        <f>IF(E4="",E13/46.5,E13/4.32)</f>
        <v>0</v>
      </c>
      <c r="O18" s="178">
        <f>ROUNDDOWN(N18,0)</f>
        <v>0</v>
      </c>
      <c r="P18" s="193">
        <f>N18-O18</f>
        <v>0</v>
      </c>
      <c r="Q18" s="178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30"/>
      <c r="C19" s="30"/>
      <c r="D19" s="11"/>
      <c r="E19" s="11"/>
      <c r="F19" s="18"/>
      <c r="G19" s="11"/>
      <c r="H19" s="68"/>
      <c r="I19" s="14"/>
      <c r="J19" s="68"/>
      <c r="K19" s="14"/>
      <c r="L19" s="11"/>
      <c r="M19" s="11"/>
      <c r="N19" s="191"/>
      <c r="O19" s="178"/>
      <c r="P19" s="193"/>
      <c r="Q19" s="178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2.9" customHeight="1" x14ac:dyDescent="0.25">
      <c r="B20" s="31" t="s">
        <v>34</v>
      </c>
      <c r="C20" s="31"/>
      <c r="D20" s="11"/>
      <c r="E20" s="11"/>
      <c r="F20" s="183">
        <f>IF(E4="",(H20*46.52)+(J20*2.32),(H20*4.32)+(J20*0.22))</f>
        <v>0</v>
      </c>
      <c r="G20" s="11" t="str">
        <f>IF(E$4="","pi²","m²")</f>
        <v>pi²</v>
      </c>
      <c r="H20" s="184">
        <f>IF(P20&gt;0.95,O20+1,O20)</f>
        <v>0</v>
      </c>
      <c r="I20" s="52" t="s">
        <v>14</v>
      </c>
      <c r="J20" s="184">
        <f>IF(P20&gt;0.95,0,ROUNDUP(P20/0.05,0))</f>
        <v>0</v>
      </c>
      <c r="K20" s="11" t="s">
        <v>162</v>
      </c>
      <c r="L20" s="11"/>
      <c r="M20" s="11"/>
      <c r="N20" s="191">
        <f>IF(E4="",E13/46.5,E13/4.32)</f>
        <v>0</v>
      </c>
      <c r="O20" s="178">
        <f>ROUNDDOWN(N20,0)</f>
        <v>0</v>
      </c>
      <c r="P20" s="193">
        <f>N20-O20</f>
        <v>0</v>
      </c>
      <c r="Q20" s="178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31"/>
      <c r="C21" s="31"/>
      <c r="D21" s="11"/>
      <c r="E21" s="11"/>
      <c r="F21" s="68"/>
      <c r="G21" s="11"/>
      <c r="H21" s="68"/>
      <c r="I21" s="14"/>
      <c r="J21" s="11"/>
      <c r="K21" s="11"/>
      <c r="L21" s="11"/>
      <c r="M21" s="11"/>
      <c r="N21" s="191"/>
      <c r="O21" s="178"/>
      <c r="P21" s="193"/>
      <c r="Q21" s="178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2.9" customHeight="1" x14ac:dyDescent="0.25">
      <c r="B22" s="30" t="s">
        <v>17</v>
      </c>
      <c r="C22" s="30"/>
      <c r="D22" s="11"/>
      <c r="E22" s="11"/>
      <c r="F22" s="185">
        <f>IF(E4="",(G6/7)*E11,(G6/0.18)*E11)</f>
        <v>0</v>
      </c>
      <c r="G22" s="11" t="s">
        <v>21</v>
      </c>
      <c r="H22" s="185">
        <f>ROUNDUP(F22/50,0)</f>
        <v>0</v>
      </c>
      <c r="I22" s="14" t="s">
        <v>31</v>
      </c>
      <c r="J22" s="11"/>
      <c r="K22" s="11"/>
      <c r="L22" s="11"/>
      <c r="M22" s="11"/>
      <c r="N22" s="191"/>
      <c r="O22" s="178"/>
      <c r="P22" s="193"/>
      <c r="Q22" s="178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30"/>
      <c r="C23" s="30"/>
      <c r="D23" s="11"/>
      <c r="E23" s="11"/>
      <c r="F23" s="68"/>
      <c r="G23" s="11"/>
      <c r="H23" s="68"/>
      <c r="I23" s="14"/>
      <c r="J23" s="68"/>
      <c r="K23" s="68"/>
      <c r="L23" s="11"/>
      <c r="M23" s="11"/>
      <c r="N23" s="191"/>
      <c r="O23" s="178"/>
      <c r="P23" s="193"/>
      <c r="Q23" s="178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2.9" customHeight="1" x14ac:dyDescent="0.25">
      <c r="B24" s="30" t="s">
        <v>15</v>
      </c>
      <c r="C24" s="30"/>
      <c r="D24" s="11"/>
      <c r="E24" s="11"/>
      <c r="F24" s="184">
        <f>IF(E4="",ROUNDUP(E9*12/15.75,0),ROUNDUP(E9/0.4,0))</f>
        <v>0</v>
      </c>
      <c r="G24" s="11" t="s">
        <v>21</v>
      </c>
      <c r="H24" s="184">
        <f>O24</f>
        <v>0</v>
      </c>
      <c r="I24" s="52" t="s">
        <v>14</v>
      </c>
      <c r="J24" s="184">
        <f>F24-(H24*63)</f>
        <v>0</v>
      </c>
      <c r="K24" s="11" t="s">
        <v>145</v>
      </c>
      <c r="L24" s="11"/>
      <c r="M24" s="11"/>
      <c r="N24" s="191">
        <f>IF(E4="",(E9*12/15.75/63),(E9/0.4/63))</f>
        <v>0</v>
      </c>
      <c r="O24" s="178">
        <f>ROUNDDOWN(N24,0)</f>
        <v>0</v>
      </c>
      <c r="P24" s="193">
        <f>N24-O24</f>
        <v>0</v>
      </c>
      <c r="Q24" s="178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30"/>
      <c r="C25" s="30"/>
      <c r="D25" s="11"/>
      <c r="E25" s="11"/>
      <c r="F25" s="18"/>
      <c r="G25" s="11"/>
      <c r="H25" s="68"/>
      <c r="I25" s="14"/>
      <c r="J25" s="68"/>
      <c r="K25" s="14"/>
      <c r="L25" s="11"/>
      <c r="M25" s="11"/>
      <c r="N25" s="191"/>
      <c r="O25" s="178"/>
      <c r="P25" s="193"/>
      <c r="Q25" s="178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2.9" customHeight="1" x14ac:dyDescent="0.25">
      <c r="B26" s="30" t="s">
        <v>16</v>
      </c>
      <c r="C26" s="30"/>
      <c r="D26" s="11"/>
      <c r="E26" s="11"/>
      <c r="F26" s="184">
        <f>IF(E4="",ROUNDUP(E9*12/15.75,0),ROUNDUP(E9/0.4,0))</f>
        <v>0</v>
      </c>
      <c r="G26" s="11" t="s">
        <v>21</v>
      </c>
      <c r="H26" s="184">
        <f>O26</f>
        <v>0</v>
      </c>
      <c r="I26" s="52" t="s">
        <v>14</v>
      </c>
      <c r="J26" s="184">
        <f>F26-(H26*60)</f>
        <v>0</v>
      </c>
      <c r="K26" s="11" t="s">
        <v>145</v>
      </c>
      <c r="L26" s="11"/>
      <c r="M26" s="11"/>
      <c r="N26" s="191">
        <f>IF(E4="",(E9*12/15.75/60),(E9/0.4/60))</f>
        <v>0</v>
      </c>
      <c r="O26" s="178">
        <f>ROUNDDOWN(N26,0)</f>
        <v>0</v>
      </c>
      <c r="P26" s="193">
        <f>N26-O26</f>
        <v>0</v>
      </c>
      <c r="Q26" s="178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x14ac:dyDescent="0.25">
      <c r="B27" s="30"/>
      <c r="C27" s="30"/>
      <c r="D27" s="11"/>
      <c r="E27" s="11"/>
      <c r="F27" s="11"/>
      <c r="G27" s="68"/>
      <c r="H27" s="11"/>
      <c r="I27" s="11"/>
      <c r="J27" s="11"/>
      <c r="K27" s="11"/>
      <c r="L27" s="11"/>
      <c r="M27" s="11"/>
      <c r="N27" s="178"/>
      <c r="O27" s="178"/>
      <c r="P27" s="178"/>
      <c r="Q27" s="178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30"/>
      <c r="C28" s="30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78"/>
      <c r="O28" s="178"/>
      <c r="P28" s="178"/>
      <c r="Q28" s="178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30"/>
      <c r="C29" s="3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78"/>
      <c r="O29" s="178"/>
      <c r="P29" s="178"/>
      <c r="Q29" s="178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44" t="s">
        <v>5</v>
      </c>
      <c r="C30" s="44">
        <v>1</v>
      </c>
      <c r="D30" s="53" t="s">
        <v>4</v>
      </c>
      <c r="E30" s="11"/>
      <c r="F30" s="11"/>
      <c r="G30" s="11"/>
      <c r="H30" s="11"/>
      <c r="I30" s="11"/>
      <c r="J30" s="11"/>
      <c r="K30" s="11"/>
      <c r="L30" s="11"/>
      <c r="M30" s="11"/>
      <c r="N30" s="178"/>
      <c r="O30" s="178"/>
      <c r="P30" s="178"/>
      <c r="Q30" s="178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44"/>
      <c r="C31" s="44">
        <v>2</v>
      </c>
      <c r="D31" s="54" t="s">
        <v>128</v>
      </c>
      <c r="E31" s="11"/>
      <c r="F31" s="11"/>
      <c r="G31" s="11"/>
      <c r="H31" s="11"/>
      <c r="I31" s="11"/>
      <c r="J31" s="11"/>
      <c r="K31" s="11"/>
      <c r="L31" s="11"/>
      <c r="M31" s="11"/>
      <c r="N31" s="178"/>
      <c r="O31" s="178"/>
      <c r="P31" s="178"/>
      <c r="Q31" s="178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44"/>
      <c r="C32" s="44"/>
      <c r="D32" s="55" t="s">
        <v>134</v>
      </c>
      <c r="E32" s="11"/>
      <c r="F32" s="11"/>
      <c r="G32" s="11"/>
      <c r="H32" s="11"/>
      <c r="I32" s="11"/>
      <c r="J32" s="11"/>
      <c r="K32" s="11"/>
      <c r="L32" s="11"/>
      <c r="M32" s="11"/>
      <c r="N32" s="178"/>
      <c r="O32" s="178"/>
      <c r="P32" s="178"/>
      <c r="Q32" s="178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44"/>
      <c r="C33" s="44">
        <v>3</v>
      </c>
      <c r="D33" s="55" t="s">
        <v>165</v>
      </c>
      <c r="E33" s="11"/>
      <c r="F33" s="11"/>
      <c r="G33" s="11"/>
      <c r="H33" s="11"/>
      <c r="I33" s="11"/>
      <c r="J33" s="11"/>
      <c r="K33" s="11"/>
      <c r="L33" s="11"/>
      <c r="M33" s="11"/>
      <c r="N33" s="178"/>
      <c r="O33" s="178"/>
      <c r="P33" s="178"/>
      <c r="Q33" s="178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44"/>
      <c r="C34" s="44">
        <v>4</v>
      </c>
      <c r="D34" s="55" t="s">
        <v>164</v>
      </c>
      <c r="E34" s="11"/>
      <c r="F34" s="11"/>
      <c r="G34" s="11"/>
      <c r="H34" s="11"/>
      <c r="I34" s="11"/>
      <c r="J34" s="11"/>
      <c r="K34" s="11"/>
      <c r="L34" s="11"/>
      <c r="M34" s="11"/>
      <c r="N34" s="178"/>
      <c r="O34" s="178"/>
      <c r="P34" s="178"/>
      <c r="Q34" s="178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44"/>
      <c r="C35" s="44">
        <v>5</v>
      </c>
      <c r="D35" s="55" t="s">
        <v>135</v>
      </c>
      <c r="E35" s="11"/>
      <c r="F35" s="11"/>
      <c r="G35" s="11"/>
      <c r="H35" s="11"/>
      <c r="I35" s="11"/>
      <c r="J35" s="11"/>
      <c r="K35" s="11"/>
      <c r="L35" s="11"/>
      <c r="M35" s="11"/>
      <c r="N35" s="178"/>
      <c r="O35" s="178"/>
      <c r="P35" s="178"/>
      <c r="Q35" s="178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44"/>
      <c r="C36" s="44">
        <v>6</v>
      </c>
      <c r="D36" s="55" t="s">
        <v>130</v>
      </c>
      <c r="E36" s="11"/>
      <c r="F36" s="11"/>
      <c r="G36" s="11"/>
      <c r="H36" s="11"/>
      <c r="I36" s="11"/>
      <c r="J36" s="11"/>
      <c r="K36" s="11"/>
      <c r="L36" s="11"/>
      <c r="M36" s="11"/>
      <c r="N36" s="178"/>
      <c r="O36" s="178"/>
      <c r="P36" s="178"/>
      <c r="Q36" s="178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44"/>
      <c r="C37" s="44">
        <v>7</v>
      </c>
      <c r="D37" s="53" t="s">
        <v>131</v>
      </c>
      <c r="E37" s="11"/>
      <c r="F37" s="11"/>
      <c r="G37" s="11"/>
      <c r="H37" s="11"/>
      <c r="I37" s="11"/>
      <c r="J37" s="11"/>
      <c r="K37" s="11"/>
      <c r="L37" s="11"/>
      <c r="M37" s="11"/>
      <c r="N37" s="178"/>
      <c r="O37" s="178"/>
      <c r="P37" s="178"/>
      <c r="Q37" s="178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44"/>
      <c r="C38" s="44">
        <v>8</v>
      </c>
      <c r="D38" s="53" t="s">
        <v>132</v>
      </c>
      <c r="E38" s="11"/>
      <c r="F38" s="11"/>
      <c r="G38" s="11"/>
      <c r="H38" s="11"/>
      <c r="I38" s="11"/>
      <c r="J38" s="11"/>
      <c r="K38" s="11"/>
      <c r="L38" s="11"/>
      <c r="M38" s="11"/>
      <c r="N38" s="178"/>
      <c r="O38" s="178"/>
      <c r="P38" s="178"/>
      <c r="Q38" s="178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44"/>
      <c r="C39" s="44"/>
      <c r="D39" s="55" t="s">
        <v>146</v>
      </c>
      <c r="E39" s="11"/>
      <c r="F39" s="11"/>
      <c r="G39" s="11"/>
      <c r="H39" s="11"/>
      <c r="I39" s="11"/>
      <c r="J39" s="11"/>
      <c r="K39" s="11"/>
      <c r="L39" s="11"/>
      <c r="M39" s="11"/>
      <c r="N39" s="178"/>
      <c r="O39" s="178"/>
      <c r="P39" s="178"/>
      <c r="Q39" s="178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4"/>
      <c r="C40" s="44">
        <v>9</v>
      </c>
      <c r="D40" s="55" t="s">
        <v>133</v>
      </c>
      <c r="E40" s="4"/>
      <c r="F40" s="4"/>
      <c r="G40" s="4"/>
      <c r="H40" s="4"/>
      <c r="I40" s="4"/>
      <c r="J40" s="4"/>
      <c r="K40" s="4"/>
      <c r="L40" s="4"/>
      <c r="M40" s="4"/>
    </row>
    <row r="41" spans="2:48" x14ac:dyDescent="0.25">
      <c r="B41" s="44"/>
      <c r="C41" s="47">
        <v>10</v>
      </c>
      <c r="D41" s="45" t="s">
        <v>136</v>
      </c>
      <c r="E41" s="4"/>
      <c r="F41" s="4"/>
      <c r="G41" s="4"/>
      <c r="H41" s="4"/>
      <c r="I41" s="4"/>
      <c r="J41" s="4"/>
      <c r="K41" s="4"/>
      <c r="L41" s="4"/>
      <c r="M41" s="4"/>
    </row>
    <row r="42" spans="2:48" x14ac:dyDescent="0.25">
      <c r="B42" s="32"/>
      <c r="C42" s="32"/>
      <c r="D42" s="4"/>
      <c r="E42" s="4"/>
      <c r="F42" s="4"/>
      <c r="G42" s="4"/>
      <c r="H42" s="4"/>
      <c r="I42" s="4"/>
      <c r="J42" s="4"/>
      <c r="K42" s="4"/>
      <c r="L42" s="4"/>
      <c r="M42" s="4"/>
    </row>
  </sheetData>
  <sheetProtection password="DD81" sheet="1" objects="1" scenarios="1" selectLockedCells="1"/>
  <mergeCells count="4">
    <mergeCell ref="O5:P5"/>
    <mergeCell ref="G7:J7"/>
    <mergeCell ref="B1:L1"/>
    <mergeCell ref="B2:L2"/>
  </mergeCells>
  <conditionalFormatting sqref="G6:J6 G7">
    <cfRule type="containsText" dxfId="6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88" fitToHeight="0" orientation="portrait" r:id="rId1"/>
  <headerFooter>
    <oddFooter>&amp;C&amp;G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AV44"/>
  <sheetViews>
    <sheetView showGridLines="0" topLeftCell="B1" zoomScaleNormal="100" zoomScaleSheetLayoutView="130" workbookViewId="0">
      <pane ySplit="2" topLeftCell="A3" activePane="bottomLeft" state="frozen"/>
      <selection activeCell="C7" sqref="C7:G7"/>
      <selection pane="bottomLeft" activeCell="E4" sqref="E4:E11"/>
    </sheetView>
  </sheetViews>
  <sheetFormatPr baseColWidth="10" defaultColWidth="11.5703125" defaultRowHeight="15" x14ac:dyDescent="0.25"/>
  <cols>
    <col min="1" max="1" width="11.5703125" style="2"/>
    <col min="2" max="2" width="12.85546875" style="27" customWidth="1"/>
    <col min="3" max="3" width="3.7109375" style="27" customWidth="1"/>
    <col min="4" max="4" width="16.28515625" style="2" customWidth="1"/>
    <col min="5" max="6" width="7.140625" style="2" customWidth="1"/>
    <col min="7" max="7" width="5.28515625" style="2" customWidth="1"/>
    <col min="8" max="10" width="7.140625" style="2" customWidth="1"/>
    <col min="11" max="12" width="11.7109375" style="2" customWidth="1"/>
    <col min="13" max="13" width="5.28515625" style="6" customWidth="1"/>
    <col min="14" max="14" width="11.85546875" style="166" customWidth="1"/>
    <col min="15" max="16" width="11.5703125" style="166"/>
    <col min="17" max="48" width="11.5703125" style="6"/>
    <col min="49" max="16384" width="11.5703125" style="2"/>
  </cols>
  <sheetData>
    <row r="1" spans="2:48" s="202" customFormat="1" ht="25.9" customHeight="1" x14ac:dyDescent="0.25">
      <c r="B1" s="217" t="s">
        <v>19</v>
      </c>
      <c r="C1" s="217"/>
      <c r="D1" s="217"/>
      <c r="E1" s="217"/>
      <c r="F1" s="217"/>
      <c r="G1" s="217"/>
      <c r="H1" s="217"/>
      <c r="I1" s="217"/>
      <c r="J1" s="217"/>
      <c r="K1" s="217"/>
      <c r="L1" s="204"/>
      <c r="M1" s="201"/>
      <c r="N1" s="200"/>
      <c r="O1" s="200"/>
      <c r="P1" s="200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6.45" customHeight="1" x14ac:dyDescent="0.25">
      <c r="B2" s="217" t="s">
        <v>125</v>
      </c>
      <c r="C2" s="217"/>
      <c r="D2" s="217"/>
      <c r="E2" s="217"/>
      <c r="F2" s="217"/>
      <c r="G2" s="217"/>
      <c r="H2" s="217"/>
      <c r="I2" s="217"/>
      <c r="J2" s="217"/>
      <c r="K2" s="217"/>
      <c r="L2" s="204"/>
      <c r="M2" s="201"/>
      <c r="N2" s="200"/>
      <c r="O2" s="200"/>
      <c r="P2" s="200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29.45" customHeight="1" x14ac:dyDescent="0.25">
      <c r="B3" s="24"/>
      <c r="C3" s="24"/>
      <c r="D3" s="11"/>
      <c r="E3" s="11"/>
      <c r="F3" s="11"/>
      <c r="G3" s="11"/>
      <c r="H3" s="11"/>
      <c r="I3" s="11"/>
      <c r="J3" s="11"/>
      <c r="K3" s="11"/>
      <c r="L3" s="11"/>
      <c r="M3" s="6"/>
      <c r="N3" s="166"/>
      <c r="O3" s="166"/>
      <c r="P3" s="16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7.45" customHeight="1" x14ac:dyDescent="0.25">
      <c r="B4" s="24"/>
      <c r="C4" s="24"/>
      <c r="D4" s="13" t="s">
        <v>12</v>
      </c>
      <c r="E4" s="8"/>
      <c r="F4" s="14" t="s">
        <v>123</v>
      </c>
      <c r="G4" s="11"/>
      <c r="H4" s="11"/>
      <c r="I4" s="11"/>
      <c r="J4" s="11"/>
      <c r="K4" s="11"/>
      <c r="L4" s="11"/>
      <c r="M4" s="6"/>
      <c r="N4" s="166"/>
      <c r="O4" s="166"/>
      <c r="P4" s="16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24"/>
      <c r="C5" s="24"/>
      <c r="D5" s="11"/>
      <c r="E5" s="68"/>
      <c r="F5" s="11"/>
      <c r="G5" s="11"/>
      <c r="H5" s="11"/>
      <c r="I5" s="11"/>
      <c r="J5" s="11"/>
      <c r="K5" s="11"/>
      <c r="L5" s="11"/>
      <c r="M5" s="6"/>
      <c r="N5" s="166"/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17.45" customHeight="1" x14ac:dyDescent="0.25">
      <c r="B6" s="24" t="s">
        <v>1</v>
      </c>
      <c r="C6" s="24"/>
      <c r="D6" s="11"/>
      <c r="E6" s="188"/>
      <c r="F6" s="14" t="str">
        <f>IF(E$4="","po","m")</f>
        <v>po</v>
      </c>
      <c r="G6" s="39">
        <f>IF(E4="",(IF(N6&lt;(P6+0.01),N6,P6)),(IF(N6&lt;(O6+0.001),N6,O6)))</f>
        <v>0</v>
      </c>
      <c r="H6" s="40" t="str">
        <f>IF(E$4&gt;"","m","po")</f>
        <v>po</v>
      </c>
      <c r="I6" s="11"/>
      <c r="J6" s="11"/>
      <c r="K6" s="11"/>
      <c r="L6" s="11"/>
      <c r="M6" s="6"/>
      <c r="N6" s="194">
        <f>IF(E4="",3.5*(ROUNDUP(E6/3.5,0)),0.09*(ROUNDUP(E6/0.09,0)))</f>
        <v>0</v>
      </c>
      <c r="O6" s="166">
        <v>0.89</v>
      </c>
      <c r="P6" s="192">
        <v>35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24" t="s">
        <v>20</v>
      </c>
      <c r="C7" s="24"/>
      <c r="D7" s="11"/>
      <c r="E7" s="68"/>
      <c r="F7" s="11"/>
      <c r="G7" s="227" t="str">
        <f>IF(E4="",(IF(E6&lt;P6+0.01,"Hauteur ajustée au 3,5 po près","Hauteur maximale 35 po")),(IF(E6&lt;O6+0.001,"Hauteur ajustée au 0,09 m près","Hauteur maximale 0,89 m")))</f>
        <v>Hauteur ajustée au 3,5 po près</v>
      </c>
      <c r="H7" s="227"/>
      <c r="I7" s="227"/>
      <c r="J7" s="227"/>
      <c r="K7" s="11"/>
      <c r="L7" s="11"/>
      <c r="M7" s="6"/>
      <c r="N7" s="166"/>
      <c r="O7" s="166"/>
      <c r="P7" s="16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24"/>
      <c r="C8" s="24"/>
      <c r="D8" s="11"/>
      <c r="E8" s="68"/>
      <c r="F8" s="11"/>
      <c r="G8" s="11"/>
      <c r="H8" s="11"/>
      <c r="I8" s="11"/>
      <c r="J8" s="11"/>
      <c r="K8" s="11"/>
      <c r="L8" s="11"/>
      <c r="M8" s="6"/>
      <c r="N8" s="166"/>
      <c r="O8" s="166"/>
      <c r="P8" s="16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7.45" customHeight="1" x14ac:dyDescent="0.25">
      <c r="B9" s="24" t="s">
        <v>2</v>
      </c>
      <c r="C9" s="24"/>
      <c r="D9" s="11"/>
      <c r="E9" s="189"/>
      <c r="F9" s="14" t="str">
        <f>IF(E$4="","pi","m")</f>
        <v>pi</v>
      </c>
      <c r="G9" s="11"/>
      <c r="H9" s="11"/>
      <c r="I9" s="11"/>
      <c r="J9" s="11"/>
      <c r="K9" s="11"/>
      <c r="L9" s="11"/>
      <c r="M9" s="6"/>
      <c r="N9" s="166"/>
      <c r="O9" s="166"/>
      <c r="P9" s="16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24"/>
      <c r="C10" s="24"/>
      <c r="D10" s="11"/>
      <c r="E10" s="68"/>
      <c r="F10" s="11"/>
      <c r="G10" s="11"/>
      <c r="H10" s="11"/>
      <c r="I10" s="11"/>
      <c r="J10" s="11"/>
      <c r="K10" s="11"/>
      <c r="L10" s="11"/>
      <c r="M10" s="6"/>
      <c r="N10" s="166"/>
      <c r="O10" s="166"/>
      <c r="P10" s="16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7.45" customHeight="1" x14ac:dyDescent="0.25">
      <c r="B11" s="24" t="s">
        <v>3</v>
      </c>
      <c r="C11" s="24"/>
      <c r="D11" s="11"/>
      <c r="E11" s="190"/>
      <c r="F11" s="14"/>
      <c r="G11" s="11"/>
      <c r="H11" s="11"/>
      <c r="I11" s="11"/>
      <c r="J11" s="11"/>
      <c r="K11" s="11"/>
      <c r="L11" s="11"/>
      <c r="M11" s="6"/>
      <c r="N11" s="166"/>
      <c r="O11" s="166"/>
      <c r="P11" s="16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24"/>
      <c r="C12" s="24"/>
      <c r="D12" s="11"/>
      <c r="E12" s="68"/>
      <c r="F12" s="11"/>
      <c r="G12" s="11"/>
      <c r="H12" s="11"/>
      <c r="I12" s="11"/>
      <c r="J12" s="11"/>
      <c r="K12" s="11"/>
      <c r="L12" s="11"/>
      <c r="M12" s="6"/>
      <c r="N12" s="166"/>
      <c r="O12" s="166"/>
      <c r="P12" s="16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7.45" customHeight="1" x14ac:dyDescent="0.25">
      <c r="B13" s="24" t="s">
        <v>18</v>
      </c>
      <c r="C13" s="24"/>
      <c r="D13" s="11"/>
      <c r="E13" s="187">
        <f>IF(E4="",(E9*(G6+3.5)/12),((G6+0.09)*E9))</f>
        <v>0</v>
      </c>
      <c r="F13" s="14" t="str">
        <f>IF(E$4="","pi²","m²")</f>
        <v>pi²</v>
      </c>
      <c r="G13" s="11"/>
      <c r="H13" s="16"/>
      <c r="I13" s="11"/>
      <c r="J13" s="11"/>
      <c r="K13" s="11"/>
      <c r="L13" s="11"/>
      <c r="M13" s="6"/>
      <c r="N13" s="166"/>
      <c r="O13" s="166"/>
      <c r="P13" s="16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24" t="s">
        <v>13</v>
      </c>
      <c r="C14" s="24"/>
      <c r="D14" s="11"/>
      <c r="E14" s="11"/>
      <c r="F14" s="11"/>
      <c r="G14" s="11"/>
      <c r="H14" s="11"/>
      <c r="I14" s="11"/>
      <c r="J14" s="11"/>
      <c r="K14" s="11"/>
      <c r="L14" s="11"/>
      <c r="M14" s="6"/>
      <c r="N14" s="166"/>
      <c r="O14" s="166"/>
      <c r="P14" s="16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24"/>
      <c r="C15" s="24"/>
      <c r="D15" s="11"/>
      <c r="E15" s="11"/>
      <c r="F15" s="11"/>
      <c r="G15" s="11"/>
      <c r="H15" s="11"/>
      <c r="I15" s="11"/>
      <c r="J15" s="11"/>
      <c r="K15" s="11"/>
      <c r="L15" s="11"/>
      <c r="M15" s="6"/>
      <c r="N15" s="166"/>
      <c r="O15" s="166"/>
      <c r="P15" s="16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63" t="s">
        <v>6</v>
      </c>
      <c r="C16" s="64"/>
      <c r="D16" s="65"/>
      <c r="E16" s="65"/>
      <c r="F16" s="65"/>
      <c r="G16" s="65"/>
      <c r="H16" s="65"/>
      <c r="I16" s="65"/>
      <c r="J16" s="11"/>
      <c r="K16" s="11"/>
      <c r="L16" s="11"/>
      <c r="M16" s="6"/>
      <c r="N16" s="166"/>
      <c r="O16" s="166"/>
      <c r="P16" s="16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24"/>
      <c r="C17" s="24"/>
      <c r="D17" s="11"/>
      <c r="E17" s="11"/>
      <c r="F17" s="68"/>
      <c r="G17" s="11"/>
      <c r="H17" s="68"/>
      <c r="I17" s="11"/>
      <c r="J17" s="11"/>
      <c r="K17" s="11"/>
      <c r="L17" s="11"/>
      <c r="M17" s="6"/>
      <c r="N17" s="166" t="s">
        <v>14</v>
      </c>
      <c r="O17" s="166" t="s">
        <v>117</v>
      </c>
      <c r="P17" s="166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2.9" customHeight="1" x14ac:dyDescent="0.25">
      <c r="B18" s="29" t="s">
        <v>156</v>
      </c>
      <c r="C18" s="29"/>
      <c r="D18" s="11"/>
      <c r="E18" s="11"/>
      <c r="F18" s="183">
        <f>IF(E4="",(H18*42.12)+(J18*10.53),(H18*3.92)+(J18*0.98))</f>
        <v>0</v>
      </c>
      <c r="G18" s="11" t="str">
        <f>IF(E$4="","pi²","m²")</f>
        <v>pi²</v>
      </c>
      <c r="H18" s="184">
        <f>IF(P18&gt;0.751,O18+1,O18)</f>
        <v>0</v>
      </c>
      <c r="I18" s="52" t="s">
        <v>14</v>
      </c>
      <c r="J18" s="184">
        <f>IF(P18&gt;0.75,0,ROUNDUP(P18/0.25,0))</f>
        <v>0</v>
      </c>
      <c r="K18" s="11" t="s">
        <v>116</v>
      </c>
      <c r="L18" s="11"/>
      <c r="M18" s="6"/>
      <c r="N18" s="192">
        <f>IF(E4="",(E13*0.85)/42,(E13*0.85)/3.92)</f>
        <v>0</v>
      </c>
      <c r="O18" s="215">
        <f>ROUNDDOWN(N18,0)</f>
        <v>0</v>
      </c>
      <c r="P18" s="191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24"/>
      <c r="C19" s="24"/>
      <c r="D19" s="11"/>
      <c r="E19" s="11"/>
      <c r="F19" s="195"/>
      <c r="G19" s="11"/>
      <c r="H19" s="196"/>
      <c r="I19" s="14"/>
      <c r="J19" s="196"/>
      <c r="K19" s="14"/>
      <c r="L19" s="11"/>
      <c r="M19" s="6"/>
      <c r="N19" s="192"/>
      <c r="O19" s="215"/>
      <c r="P19" s="191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2.9" customHeight="1" x14ac:dyDescent="0.25">
      <c r="B20" s="29" t="s">
        <v>158</v>
      </c>
      <c r="C20" s="29"/>
      <c r="D20" s="11"/>
      <c r="E20" s="11"/>
      <c r="F20" s="183">
        <f>IF(E4="",(H20*40.95)+(J20*1.17),(H20*3.8)+(J20*0.11))</f>
        <v>0</v>
      </c>
      <c r="G20" s="11" t="str">
        <f>IF(E$4="","pi²","m²")</f>
        <v>pi²</v>
      </c>
      <c r="H20" s="184">
        <f>IF(P20&gt;0.97,O20+1,O20)</f>
        <v>0</v>
      </c>
      <c r="I20" s="216" t="s">
        <v>14</v>
      </c>
      <c r="J20" s="184">
        <f>IF(P20&gt;0.97,0,ROUNDUP(P20/0.03,0))</f>
        <v>0</v>
      </c>
      <c r="K20" s="11" t="s">
        <v>162</v>
      </c>
      <c r="L20" s="11"/>
      <c r="M20" s="6"/>
      <c r="N20" s="192">
        <f>IF(E4="",(E13*0.85)/41,(E13*0.85)/3.8)</f>
        <v>0</v>
      </c>
      <c r="O20" s="215">
        <f>ROUNDDOWN(N20,0)</f>
        <v>0</v>
      </c>
      <c r="P20" s="191">
        <f>N20-O20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13.15" customHeight="1" x14ac:dyDescent="0.25">
      <c r="B21" s="29"/>
      <c r="C21" s="29"/>
      <c r="D21" s="11"/>
      <c r="E21" s="11"/>
      <c r="F21" s="195"/>
      <c r="G21" s="11"/>
      <c r="H21" s="197"/>
      <c r="I21" s="56"/>
      <c r="J21" s="197"/>
      <c r="K21" s="11"/>
      <c r="L21" s="11"/>
      <c r="M21" s="6"/>
      <c r="N21" s="192"/>
      <c r="O21" s="215"/>
      <c r="P21" s="191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2.9" customHeight="1" x14ac:dyDescent="0.25">
      <c r="B22" s="29" t="s">
        <v>157</v>
      </c>
      <c r="C22" s="29"/>
      <c r="D22" s="11"/>
      <c r="E22" s="11"/>
      <c r="F22" s="183">
        <f>IF(E4="",(H22*46.52)+(J22*11.63),(H22*4.32)+(J22*1.08))</f>
        <v>0</v>
      </c>
      <c r="G22" s="11" t="str">
        <f>IF(E$4="","pi²","m²")</f>
        <v>pi²</v>
      </c>
      <c r="H22" s="184">
        <f>IF(P22&gt;0.751,O22+1,O22)</f>
        <v>0</v>
      </c>
      <c r="I22" s="52" t="s">
        <v>14</v>
      </c>
      <c r="J22" s="184">
        <f>IF(P22&gt;0.751,0,IF(P22&gt;0.501,3,IF(P22&gt;0.251,2,IF(P22&gt;0,1,0))))</f>
        <v>0</v>
      </c>
      <c r="K22" s="11" t="s">
        <v>116</v>
      </c>
      <c r="L22" s="11"/>
      <c r="M22" s="6"/>
      <c r="N22" s="192">
        <f>IF(E4="",(E13*0.15)/46.5,(E13*0.15)/4.32)</f>
        <v>0</v>
      </c>
      <c r="O22" s="215">
        <f>ROUNDDOWN(N22,0)</f>
        <v>0</v>
      </c>
      <c r="P22" s="191">
        <f>N22-O22</f>
        <v>0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24"/>
      <c r="C23" s="24"/>
      <c r="D23" s="11"/>
      <c r="E23" s="11"/>
      <c r="F23" s="195"/>
      <c r="G23" s="11"/>
      <c r="H23" s="196"/>
      <c r="I23" s="14"/>
      <c r="J23" s="196"/>
      <c r="K23" s="14"/>
      <c r="L23" s="11"/>
      <c r="M23" s="6"/>
      <c r="N23" s="192"/>
      <c r="O23" s="215"/>
      <c r="P23" s="191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2.9" customHeight="1" x14ac:dyDescent="0.25">
      <c r="B24" s="29" t="s">
        <v>159</v>
      </c>
      <c r="C24" s="29"/>
      <c r="D24" s="11"/>
      <c r="E24" s="11"/>
      <c r="F24" s="183">
        <f>IF(E4="",(H24*46.52)+(J24*2.32),(H24*4.32)+(J24*0.22))</f>
        <v>0</v>
      </c>
      <c r="G24" s="11" t="str">
        <f>IF(E$4="","pi²","m²")</f>
        <v>pi²</v>
      </c>
      <c r="H24" s="184">
        <f>IF(P24&gt;0.951,O24+1,O24)</f>
        <v>0</v>
      </c>
      <c r="I24" s="52" t="s">
        <v>14</v>
      </c>
      <c r="J24" s="184">
        <f>IF(P24&gt;0.951,0,ROUNDUP(P24/0.05,0))</f>
        <v>0</v>
      </c>
      <c r="K24" s="11" t="s">
        <v>162</v>
      </c>
      <c r="L24" s="11"/>
      <c r="M24" s="6"/>
      <c r="N24" s="192">
        <f>IF(E4="",(E13*0.15)/46.5,(E13*0.15)/4.32)</f>
        <v>0</v>
      </c>
      <c r="O24" s="215">
        <f>ROUNDDOWN(N24,0)</f>
        <v>0</v>
      </c>
      <c r="P24" s="191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25"/>
      <c r="C25" s="25"/>
      <c r="D25" s="11"/>
      <c r="E25" s="11"/>
      <c r="F25" s="196"/>
      <c r="G25" s="11"/>
      <c r="H25" s="196"/>
      <c r="I25" s="14"/>
      <c r="J25" s="186"/>
      <c r="K25" s="11"/>
      <c r="L25" s="11"/>
      <c r="M25" s="6"/>
      <c r="N25" s="192"/>
      <c r="O25" s="166"/>
      <c r="P25" s="16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2.9" customHeight="1" x14ac:dyDescent="0.25">
      <c r="B26" s="24" t="s">
        <v>17</v>
      </c>
      <c r="C26" s="24"/>
      <c r="D26" s="11"/>
      <c r="E26" s="11"/>
      <c r="F26" s="185">
        <f>IF(E4="",(G6/3.5)*E11,(G6/0.09)*E11)</f>
        <v>0</v>
      </c>
      <c r="G26" s="11" t="s">
        <v>21</v>
      </c>
      <c r="H26" s="185">
        <f>ROUNDUP(F26/50,0)</f>
        <v>0</v>
      </c>
      <c r="I26" s="14" t="s">
        <v>31</v>
      </c>
      <c r="J26" s="186"/>
      <c r="K26" s="11"/>
      <c r="L26" s="11"/>
      <c r="M26" s="6"/>
      <c r="N26" s="192"/>
      <c r="O26" s="166"/>
      <c r="P26" s="16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9.6" customHeight="1" x14ac:dyDescent="0.25">
      <c r="B27" s="24"/>
      <c r="C27" s="24"/>
      <c r="D27" s="11"/>
      <c r="E27" s="11"/>
      <c r="F27" s="196"/>
      <c r="G27" s="11"/>
      <c r="H27" s="196"/>
      <c r="I27" s="14"/>
      <c r="J27" s="196"/>
      <c r="K27" s="68"/>
      <c r="L27" s="11"/>
      <c r="M27" s="6"/>
      <c r="N27" s="192"/>
      <c r="O27" s="166"/>
      <c r="P27" s="16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ht="24.6" customHeight="1" x14ac:dyDescent="0.25">
      <c r="B28" s="24" t="s">
        <v>15</v>
      </c>
      <c r="C28" s="24"/>
      <c r="D28" s="11"/>
      <c r="E28" s="11"/>
      <c r="F28" s="184">
        <f>IF(E4="",ROUNDUP(E9*12/15.75,0),ROUNDUP(E9/0.4,0))</f>
        <v>0</v>
      </c>
      <c r="G28" s="11" t="s">
        <v>21</v>
      </c>
      <c r="H28" s="184">
        <f>O28</f>
        <v>0</v>
      </c>
      <c r="I28" s="52" t="s">
        <v>14</v>
      </c>
      <c r="J28" s="184">
        <f>F28-(H28*63)</f>
        <v>0</v>
      </c>
      <c r="K28" s="11" t="s">
        <v>145</v>
      </c>
      <c r="L28" s="11"/>
      <c r="M28" s="6"/>
      <c r="N28" s="192">
        <f>IF(E4="",(E9*12/15.75/63),(E9/0.4/63))</f>
        <v>0</v>
      </c>
      <c r="O28" s="215">
        <f>ROUNDDOWN(N28,0)</f>
        <v>0</v>
      </c>
      <c r="P28" s="167">
        <f>N28-O28</f>
        <v>0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ht="9.6" customHeight="1" x14ac:dyDescent="0.25">
      <c r="B29" s="24"/>
      <c r="C29" s="24"/>
      <c r="D29" s="11"/>
      <c r="E29" s="11"/>
      <c r="F29" s="195"/>
      <c r="G29" s="11"/>
      <c r="H29" s="196"/>
      <c r="I29" s="14"/>
      <c r="J29" s="196"/>
      <c r="K29" s="14"/>
      <c r="L29" s="11"/>
      <c r="M29" s="6"/>
      <c r="N29" s="192"/>
      <c r="O29" s="215"/>
      <c r="P29" s="167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ht="24.6" customHeight="1" x14ac:dyDescent="0.25">
      <c r="B30" s="24" t="s">
        <v>16</v>
      </c>
      <c r="C30" s="24"/>
      <c r="D30" s="11"/>
      <c r="E30" s="11"/>
      <c r="F30" s="184">
        <f>IF(E4="",ROUNDUP(E9*12/15.75,0),ROUNDUP(E9/0.4,0))</f>
        <v>0</v>
      </c>
      <c r="G30" s="11" t="s">
        <v>21</v>
      </c>
      <c r="H30" s="184">
        <f>O30</f>
        <v>0</v>
      </c>
      <c r="I30" s="52" t="s">
        <v>14</v>
      </c>
      <c r="J30" s="184">
        <f>F30-(H30*60)</f>
        <v>0</v>
      </c>
      <c r="K30" s="11" t="s">
        <v>145</v>
      </c>
      <c r="L30" s="11"/>
      <c r="M30" s="6"/>
      <c r="N30" s="192">
        <f>IF(E4="",(E9*12/15.75/60),(E9/0.4/60))</f>
        <v>0</v>
      </c>
      <c r="O30" s="215">
        <f>ROUNDDOWN(N30,0)</f>
        <v>0</v>
      </c>
      <c r="P30" s="167">
        <f>N30-O30</f>
        <v>0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24"/>
      <c r="C31" s="24"/>
      <c r="D31" s="11"/>
      <c r="E31" s="11"/>
      <c r="F31" s="11"/>
      <c r="G31" s="68"/>
      <c r="H31" s="11"/>
      <c r="I31" s="11"/>
      <c r="J31" s="11"/>
      <c r="K31" s="11"/>
      <c r="L31" s="11"/>
      <c r="M31" s="6"/>
      <c r="N31" s="166"/>
      <c r="O31" s="166"/>
      <c r="P31" s="16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48" t="s">
        <v>5</v>
      </c>
      <c r="C32" s="48">
        <v>1</v>
      </c>
      <c r="D32" s="57" t="s">
        <v>4</v>
      </c>
      <c r="E32" s="11"/>
      <c r="F32" s="11"/>
      <c r="G32" s="11"/>
      <c r="H32" s="11"/>
      <c r="I32" s="11"/>
      <c r="J32" s="11"/>
      <c r="K32" s="11"/>
      <c r="L32" s="11"/>
      <c r="M32" s="6"/>
      <c r="N32" s="166"/>
      <c r="O32" s="166"/>
      <c r="P32" s="16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48"/>
      <c r="C33" s="48">
        <v>2</v>
      </c>
      <c r="D33" s="58" t="s">
        <v>128</v>
      </c>
      <c r="E33" s="11"/>
      <c r="F33" s="11"/>
      <c r="G33" s="11"/>
      <c r="H33" s="11"/>
      <c r="I33" s="11"/>
      <c r="J33" s="11"/>
      <c r="K33" s="11"/>
      <c r="L33" s="11"/>
      <c r="M33" s="6"/>
      <c r="N33" s="166"/>
      <c r="O33" s="166"/>
      <c r="P33" s="16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48"/>
      <c r="C34" s="48"/>
      <c r="D34" s="59" t="s">
        <v>134</v>
      </c>
      <c r="E34" s="11"/>
      <c r="F34" s="11"/>
      <c r="G34" s="11"/>
      <c r="H34" s="11"/>
      <c r="I34" s="11"/>
      <c r="J34" s="11"/>
      <c r="K34" s="11"/>
      <c r="L34" s="11"/>
      <c r="M34" s="6"/>
      <c r="N34" s="166"/>
      <c r="O34" s="166"/>
      <c r="P34" s="16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48"/>
      <c r="C35" s="48">
        <v>3</v>
      </c>
      <c r="D35" s="59" t="s">
        <v>129</v>
      </c>
      <c r="E35" s="11"/>
      <c r="F35" s="11"/>
      <c r="G35" s="11"/>
      <c r="H35" s="11"/>
      <c r="I35" s="11"/>
      <c r="J35" s="11"/>
      <c r="K35" s="11"/>
      <c r="L35" s="11"/>
      <c r="M35" s="6"/>
      <c r="N35" s="166"/>
      <c r="O35" s="166"/>
      <c r="P35" s="16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48"/>
      <c r="C36" s="48">
        <v>4</v>
      </c>
      <c r="D36" s="55" t="s">
        <v>147</v>
      </c>
      <c r="E36" s="11"/>
      <c r="F36" s="11"/>
      <c r="G36" s="11"/>
      <c r="H36" s="11"/>
      <c r="I36" s="11"/>
      <c r="J36" s="11"/>
      <c r="K36" s="11"/>
      <c r="L36" s="11"/>
      <c r="M36" s="6"/>
      <c r="N36" s="166"/>
      <c r="O36" s="166"/>
      <c r="P36" s="16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48"/>
      <c r="C37" s="48">
        <v>5</v>
      </c>
      <c r="D37" s="59" t="s">
        <v>135</v>
      </c>
      <c r="E37" s="11"/>
      <c r="F37" s="11"/>
      <c r="G37" s="11"/>
      <c r="H37" s="11"/>
      <c r="I37" s="11"/>
      <c r="J37" s="11"/>
      <c r="K37" s="11"/>
      <c r="L37" s="11"/>
      <c r="M37" s="6"/>
      <c r="N37" s="166"/>
      <c r="O37" s="166"/>
      <c r="P37" s="16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48"/>
      <c r="C38" s="48">
        <v>6</v>
      </c>
      <c r="D38" s="59" t="s">
        <v>130</v>
      </c>
      <c r="E38" s="11"/>
      <c r="F38" s="11"/>
      <c r="G38" s="11"/>
      <c r="H38" s="11"/>
      <c r="I38" s="11"/>
      <c r="J38" s="11"/>
      <c r="K38" s="11"/>
      <c r="L38" s="11"/>
      <c r="M38" s="6"/>
      <c r="N38" s="166"/>
      <c r="O38" s="166"/>
      <c r="P38" s="16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48"/>
      <c r="C39" s="48">
        <v>7</v>
      </c>
      <c r="D39" s="57" t="s">
        <v>131</v>
      </c>
      <c r="E39" s="11"/>
      <c r="F39" s="11"/>
      <c r="G39" s="11"/>
      <c r="H39" s="11"/>
      <c r="I39" s="11"/>
      <c r="J39" s="11"/>
      <c r="K39" s="11"/>
      <c r="L39" s="11"/>
      <c r="M39" s="6"/>
      <c r="N39" s="166"/>
      <c r="O39" s="166"/>
      <c r="P39" s="16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8"/>
      <c r="C40" s="48">
        <v>8</v>
      </c>
      <c r="D40" s="57" t="s">
        <v>132</v>
      </c>
      <c r="E40" s="4"/>
      <c r="F40" s="4"/>
      <c r="G40" s="4"/>
      <c r="H40" s="4"/>
      <c r="I40" s="4"/>
      <c r="J40" s="4"/>
      <c r="K40" s="4"/>
      <c r="L40" s="4"/>
    </row>
    <row r="41" spans="2:48" x14ac:dyDescent="0.25">
      <c r="B41" s="48"/>
      <c r="C41" s="48"/>
      <c r="D41" s="55" t="s">
        <v>146</v>
      </c>
      <c r="E41" s="4"/>
      <c r="F41" s="4"/>
      <c r="G41" s="4"/>
      <c r="H41" s="4"/>
      <c r="I41" s="4"/>
      <c r="J41" s="4"/>
      <c r="K41" s="4"/>
      <c r="L41" s="4"/>
    </row>
    <row r="42" spans="2:48" x14ac:dyDescent="0.25">
      <c r="B42" s="48"/>
      <c r="C42" s="48">
        <v>9</v>
      </c>
      <c r="D42" s="59" t="s">
        <v>133</v>
      </c>
      <c r="E42" s="4"/>
      <c r="F42" s="4"/>
      <c r="G42" s="4"/>
      <c r="H42" s="4"/>
      <c r="I42" s="4"/>
      <c r="J42" s="4"/>
      <c r="K42" s="4"/>
      <c r="L42" s="4"/>
    </row>
    <row r="43" spans="2:48" x14ac:dyDescent="0.25">
      <c r="B43" s="48"/>
      <c r="C43" s="48">
        <v>10</v>
      </c>
      <c r="D43" s="49" t="s">
        <v>136</v>
      </c>
      <c r="E43" s="4"/>
      <c r="F43" s="4"/>
      <c r="G43" s="4"/>
      <c r="H43" s="4"/>
      <c r="I43" s="4"/>
      <c r="J43" s="4"/>
      <c r="K43" s="4"/>
      <c r="L43" s="4"/>
    </row>
    <row r="44" spans="2:48" x14ac:dyDescent="0.25">
      <c r="B44" s="26"/>
      <c r="C44" s="26"/>
      <c r="D44" s="4"/>
      <c r="E44" s="4"/>
      <c r="F44" s="4"/>
      <c r="G44" s="4"/>
      <c r="H44" s="4"/>
      <c r="I44" s="4"/>
      <c r="J44" s="4"/>
      <c r="K44" s="4"/>
      <c r="L44" s="4"/>
    </row>
  </sheetData>
  <sheetProtection password="DD81" sheet="1" objects="1" scenarios="1" selectLockedCells="1"/>
  <mergeCells count="4">
    <mergeCell ref="O5:P5"/>
    <mergeCell ref="G7:J7"/>
    <mergeCell ref="B2:K2"/>
    <mergeCell ref="B1:K1"/>
  </mergeCells>
  <conditionalFormatting sqref="G6:J6 G7">
    <cfRule type="containsText" dxfId="5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95" fitToHeight="0" orientation="portrait" r:id="rId1"/>
  <headerFooter>
    <oddFooter>&amp;C&amp;G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AV46"/>
  <sheetViews>
    <sheetView showGridLines="0" topLeftCell="B1" zoomScaleNormal="100" zoomScaleSheetLayoutView="130" workbookViewId="0">
      <pane ySplit="2" topLeftCell="A3" activePane="bottomLeft" state="frozen"/>
      <selection activeCell="C7" sqref="C7:G7"/>
      <selection pane="bottomLeft" activeCell="E4" sqref="E4"/>
    </sheetView>
  </sheetViews>
  <sheetFormatPr baseColWidth="10" defaultColWidth="11.5703125" defaultRowHeight="15" x14ac:dyDescent="0.25"/>
  <cols>
    <col min="1" max="1" width="11.5703125" style="2"/>
    <col min="2" max="2" width="11.28515625" style="27" customWidth="1"/>
    <col min="3" max="3" width="3.140625" style="27" customWidth="1"/>
    <col min="4" max="4" width="16.7109375" style="2" customWidth="1"/>
    <col min="5" max="11" width="7.28515625" style="2" customWidth="1"/>
    <col min="12" max="12" width="12.7109375" style="3" customWidth="1"/>
    <col min="13" max="13" width="11.42578125" style="3" customWidth="1"/>
    <col min="14" max="14" width="11.5703125" style="178"/>
    <col min="15" max="16" width="11.5703125" style="166"/>
    <col min="17" max="48" width="11.5703125" style="6"/>
    <col min="49" max="16384" width="11.5703125" style="2"/>
  </cols>
  <sheetData>
    <row r="1" spans="2:48" s="202" customFormat="1" ht="25.9" customHeight="1" x14ac:dyDescent="0.25">
      <c r="B1" s="217" t="s">
        <v>19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06"/>
      <c r="O1" s="200"/>
      <c r="P1" s="200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17" t="s">
        <v>28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06"/>
      <c r="O2" s="200"/>
      <c r="P2" s="200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26.45" customHeight="1" x14ac:dyDescent="0.25">
      <c r="B3" s="24"/>
      <c r="C3" s="24"/>
      <c r="D3" s="11"/>
      <c r="E3" s="11"/>
      <c r="F3" s="11"/>
      <c r="G3" s="11"/>
      <c r="H3" s="11"/>
      <c r="I3" s="11"/>
      <c r="J3" s="11"/>
      <c r="K3" s="11"/>
      <c r="L3" s="68"/>
      <c r="M3" s="68"/>
      <c r="N3" s="178"/>
      <c r="O3" s="166"/>
      <c r="P3" s="16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9.149999999999999" customHeight="1" x14ac:dyDescent="0.25">
      <c r="B4" s="24"/>
      <c r="C4" s="24"/>
      <c r="D4" s="13" t="s">
        <v>12</v>
      </c>
      <c r="E4" s="188"/>
      <c r="F4" s="14" t="s">
        <v>123</v>
      </c>
      <c r="G4" s="11"/>
      <c r="H4" s="11"/>
      <c r="I4" s="11"/>
      <c r="J4" s="11"/>
      <c r="K4" s="11"/>
      <c r="L4" s="68"/>
      <c r="M4" s="68"/>
      <c r="N4" s="178"/>
      <c r="O4" s="166"/>
      <c r="P4" s="16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24"/>
      <c r="C5" s="24"/>
      <c r="D5" s="11"/>
      <c r="E5" s="196"/>
      <c r="F5" s="11"/>
      <c r="G5" s="11"/>
      <c r="H5" s="11"/>
      <c r="I5" s="11"/>
      <c r="J5" s="11"/>
      <c r="K5" s="11"/>
      <c r="L5" s="11"/>
      <c r="M5" s="11"/>
      <c r="N5" s="166"/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19.149999999999999" customHeight="1" x14ac:dyDescent="0.25">
      <c r="B6" s="24" t="s">
        <v>1</v>
      </c>
      <c r="C6" s="24"/>
      <c r="D6" s="11"/>
      <c r="E6" s="188"/>
      <c r="F6" s="14" t="str">
        <f>IF(E$4="","po","m")</f>
        <v>po</v>
      </c>
      <c r="G6" s="198">
        <f>IF(E4="",(IF(N6&lt;(P6+0.01),N6,P6)),(IF(N6&lt;(O6+0.001),N6,O6)))</f>
        <v>0</v>
      </c>
      <c r="H6" s="199" t="str">
        <f>IF(E$4&gt;"","m","po")</f>
        <v>po</v>
      </c>
      <c r="I6" s="186"/>
      <c r="J6" s="186"/>
      <c r="K6" s="11"/>
      <c r="L6" s="11"/>
      <c r="M6" s="11"/>
      <c r="N6" s="194">
        <f>IF(E4="",7*(ROUNDUP(E6/7,0)),0.18*(ROUNDUP(E6/0.18,0)))</f>
        <v>0</v>
      </c>
      <c r="O6" s="166">
        <v>0.89</v>
      </c>
      <c r="P6" s="192">
        <v>35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ht="10.9" customHeight="1" x14ac:dyDescent="0.25">
      <c r="B7" s="34" t="s">
        <v>20</v>
      </c>
      <c r="C7" s="34"/>
      <c r="D7" s="11"/>
      <c r="E7" s="196"/>
      <c r="F7" s="11"/>
      <c r="G7" s="228" t="str">
        <f>IF(E4="",(IF(E6&lt;P6+0.01,"Hauteur ajustée au7 po près","Hauteur maximale 35 po")),(IF(E6&lt;O6+0.001,"Hauteur ajustée au 0,18 m près","Hauteur maximale 0,89 m")))</f>
        <v>Hauteur ajustée au7 po près</v>
      </c>
      <c r="H7" s="228"/>
      <c r="I7" s="228"/>
      <c r="J7" s="228"/>
      <c r="K7" s="11"/>
      <c r="L7" s="11"/>
      <c r="M7" s="11"/>
      <c r="N7" s="166"/>
      <c r="O7" s="166"/>
      <c r="P7" s="16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ht="4.9000000000000004" customHeight="1" x14ac:dyDescent="0.25">
      <c r="B8" s="24"/>
      <c r="C8" s="24"/>
      <c r="D8" s="11"/>
      <c r="E8" s="196"/>
      <c r="F8" s="11"/>
      <c r="G8" s="11"/>
      <c r="H8" s="11"/>
      <c r="I8" s="11"/>
      <c r="J8" s="11"/>
      <c r="K8" s="11"/>
      <c r="L8" s="68"/>
      <c r="M8" s="68"/>
      <c r="N8" s="178"/>
      <c r="O8" s="166"/>
      <c r="P8" s="16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9.149999999999999" customHeight="1" x14ac:dyDescent="0.25">
      <c r="B9" s="24" t="s">
        <v>2</v>
      </c>
      <c r="C9" s="24"/>
      <c r="D9" s="11"/>
      <c r="E9" s="189"/>
      <c r="F9" s="14" t="str">
        <f>IF(E$4="","pi","m")</f>
        <v>pi</v>
      </c>
      <c r="G9" s="11"/>
      <c r="H9" s="11"/>
      <c r="I9" s="11"/>
      <c r="J9" s="11"/>
      <c r="K9" s="11"/>
      <c r="L9" s="68"/>
      <c r="M9" s="68"/>
      <c r="N9" s="178"/>
      <c r="O9" s="166"/>
      <c r="P9" s="16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24"/>
      <c r="C10" s="24"/>
      <c r="D10" s="11"/>
      <c r="E10" s="196"/>
      <c r="F10" s="11"/>
      <c r="G10" s="11"/>
      <c r="H10" s="11"/>
      <c r="I10" s="11"/>
      <c r="J10" s="11"/>
      <c r="K10" s="11"/>
      <c r="L10" s="68"/>
      <c r="M10" s="68"/>
      <c r="N10" s="178"/>
      <c r="O10" s="166"/>
      <c r="P10" s="16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9.149999999999999" customHeight="1" x14ac:dyDescent="0.25">
      <c r="B11" s="24" t="s">
        <v>3</v>
      </c>
      <c r="C11" s="24"/>
      <c r="D11" s="11"/>
      <c r="E11" s="190"/>
      <c r="F11" s="14"/>
      <c r="G11" s="11"/>
      <c r="H11" s="11"/>
      <c r="I11" s="11"/>
      <c r="J11" s="11"/>
      <c r="K11" s="11"/>
      <c r="L11" s="68"/>
      <c r="M11" s="68"/>
      <c r="N11" s="178"/>
      <c r="O11" s="166"/>
      <c r="P11" s="16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24"/>
      <c r="C12" s="24"/>
      <c r="D12" s="11"/>
      <c r="E12" s="196"/>
      <c r="F12" s="11"/>
      <c r="G12" s="11"/>
      <c r="H12" s="11"/>
      <c r="I12" s="11"/>
      <c r="J12" s="11"/>
      <c r="K12" s="11"/>
      <c r="L12" s="68"/>
      <c r="M12" s="68"/>
      <c r="N12" s="178"/>
      <c r="O12" s="166"/>
      <c r="P12" s="16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9.149999999999999" customHeight="1" x14ac:dyDescent="0.25">
      <c r="B13" s="24" t="s">
        <v>18</v>
      </c>
      <c r="C13" s="24"/>
      <c r="D13" s="11"/>
      <c r="E13" s="187">
        <f>IF(E4="",(E9*(G6+3.5)/12),((G6+0.09)*E9))</f>
        <v>0</v>
      </c>
      <c r="F13" s="14" t="str">
        <f>IF(E$4="","pi²","m²")</f>
        <v>pi²</v>
      </c>
      <c r="G13" s="11"/>
      <c r="H13" s="16"/>
      <c r="I13" s="11"/>
      <c r="J13" s="11"/>
      <c r="K13" s="11"/>
      <c r="L13" s="68"/>
      <c r="M13" s="68"/>
      <c r="N13" s="178"/>
      <c r="O13" s="166"/>
      <c r="P13" s="16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24" t="s">
        <v>13</v>
      </c>
      <c r="C14" s="24"/>
      <c r="D14" s="11"/>
      <c r="E14" s="11"/>
      <c r="F14" s="11"/>
      <c r="G14" s="11"/>
      <c r="H14" s="11"/>
      <c r="I14" s="11"/>
      <c r="J14" s="11"/>
      <c r="K14" s="11"/>
      <c r="L14" s="68"/>
      <c r="M14" s="68"/>
      <c r="N14" s="178"/>
      <c r="O14" s="166"/>
      <c r="P14" s="16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24"/>
      <c r="C15" s="24"/>
      <c r="D15" s="11"/>
      <c r="E15" s="11"/>
      <c r="F15" s="11"/>
      <c r="G15" s="11"/>
      <c r="H15" s="11"/>
      <c r="I15" s="11"/>
      <c r="J15" s="11"/>
      <c r="K15" s="11"/>
      <c r="L15" s="68"/>
      <c r="M15" s="68"/>
      <c r="N15" s="178"/>
      <c r="O15" s="166"/>
      <c r="P15" s="16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63" t="s">
        <v>6</v>
      </c>
      <c r="C16" s="64"/>
      <c r="D16" s="65"/>
      <c r="E16" s="65"/>
      <c r="F16" s="65"/>
      <c r="G16" s="65"/>
      <c r="H16" s="65"/>
      <c r="I16" s="65"/>
      <c r="J16" s="11"/>
      <c r="K16" s="11"/>
      <c r="L16" s="68"/>
      <c r="M16" s="68"/>
      <c r="N16" s="178"/>
      <c r="O16" s="166"/>
      <c r="P16" s="16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ht="14.45" customHeight="1" x14ac:dyDescent="0.25">
      <c r="B17" s="24"/>
      <c r="C17" s="24"/>
      <c r="D17" s="11"/>
      <c r="E17" s="11"/>
      <c r="F17" s="68"/>
      <c r="G17" s="11"/>
      <c r="H17" s="68"/>
      <c r="I17" s="14"/>
      <c r="J17" s="11"/>
      <c r="K17" s="11"/>
      <c r="L17" s="68"/>
      <c r="M17" s="68"/>
      <c r="N17" s="178" t="s">
        <v>14</v>
      </c>
      <c r="O17" s="178" t="s">
        <v>117</v>
      </c>
      <c r="P17" s="178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2.15" customHeight="1" x14ac:dyDescent="0.25">
      <c r="B18" s="24" t="s">
        <v>33</v>
      </c>
      <c r="C18" s="24"/>
      <c r="D18" s="11"/>
      <c r="E18" s="11"/>
      <c r="F18" s="183">
        <f>IF(E4="",(H18*54.52)+(J18*5.45),(H18*5.45)+(J18*0.5))</f>
        <v>0</v>
      </c>
      <c r="G18" s="11" t="str">
        <f>IF(E$4="","pi²","m²")</f>
        <v>pi²</v>
      </c>
      <c r="H18" s="184">
        <f>IF(P18&gt;0.901,O18+1,O18)</f>
        <v>0</v>
      </c>
      <c r="I18" s="11" t="s">
        <v>14</v>
      </c>
      <c r="J18" s="184">
        <f>IF(P18&gt;0.9,0,ROUNDUP(P18/0.1,0))</f>
        <v>0</v>
      </c>
      <c r="K18" s="11" t="s">
        <v>162</v>
      </c>
      <c r="L18" s="68"/>
      <c r="M18" s="68"/>
      <c r="N18" s="193">
        <f>IF(E4="",(E13/54.5),(E13/5.06))</f>
        <v>0</v>
      </c>
      <c r="O18" s="178">
        <f>ROUNDDOWN(N18,0)</f>
        <v>0</v>
      </c>
      <c r="P18" s="167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24"/>
      <c r="C19" s="24"/>
      <c r="D19" s="11"/>
      <c r="E19" s="11"/>
      <c r="F19" s="195"/>
      <c r="G19" s="11"/>
      <c r="H19" s="196"/>
      <c r="I19" s="11"/>
      <c r="J19" s="196"/>
      <c r="K19" s="14"/>
      <c r="L19" s="68"/>
      <c r="M19" s="68"/>
      <c r="N19" s="193"/>
      <c r="O19" s="178"/>
      <c r="P19" s="167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2.15" customHeight="1" x14ac:dyDescent="0.25">
      <c r="B20" s="25" t="s">
        <v>34</v>
      </c>
      <c r="C20" s="25"/>
      <c r="D20" s="11"/>
      <c r="E20" s="11"/>
      <c r="F20" s="183">
        <f>IF(E4="",(H20*46.52)+(J20*2.32),(H20*4.32)+(J20*0.22))</f>
        <v>0</v>
      </c>
      <c r="G20" s="11" t="str">
        <f>IF(E$4="","pi²","m²")</f>
        <v>pi²</v>
      </c>
      <c r="H20" s="184">
        <f>IF(P20&gt;0.95,O20+1,O20)</f>
        <v>0</v>
      </c>
      <c r="I20" s="52" t="s">
        <v>14</v>
      </c>
      <c r="J20" s="184">
        <f>IF(P20&gt;0.95,0,ROUNDUP(P20/0.05,0))</f>
        <v>0</v>
      </c>
      <c r="K20" s="11" t="s">
        <v>162</v>
      </c>
      <c r="L20" s="68"/>
      <c r="M20" s="68"/>
      <c r="N20" s="193">
        <f>IF(E4="",(E13/46.5),(E13/4.32))</f>
        <v>0</v>
      </c>
      <c r="O20" s="178">
        <f>ROUNDDOWN(N20,0)</f>
        <v>0</v>
      </c>
      <c r="P20" s="167">
        <f>N20-O20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25"/>
      <c r="C21" s="25"/>
      <c r="D21" s="11"/>
      <c r="E21" s="11"/>
      <c r="F21" s="196"/>
      <c r="G21" s="11"/>
      <c r="H21" s="196"/>
      <c r="I21" s="11"/>
      <c r="J21" s="186"/>
      <c r="K21" s="11"/>
      <c r="L21" s="68"/>
      <c r="M21" s="68"/>
      <c r="N21" s="193"/>
      <c r="O21" s="178"/>
      <c r="P21" s="178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2.15" customHeight="1" x14ac:dyDescent="0.25">
      <c r="B22" s="24" t="s">
        <v>17</v>
      </c>
      <c r="C22" s="24"/>
      <c r="D22" s="11"/>
      <c r="E22" s="11"/>
      <c r="F22" s="185">
        <f>IF(E4="",(G6/7)*E11,(G6/0.18)*E11)</f>
        <v>0</v>
      </c>
      <c r="G22" s="11" t="s">
        <v>21</v>
      </c>
      <c r="H22" s="185">
        <f>ROUNDUP(F22/50,0)</f>
        <v>0</v>
      </c>
      <c r="I22" s="11" t="s">
        <v>31</v>
      </c>
      <c r="J22" s="186"/>
      <c r="K22" s="11"/>
      <c r="L22" s="68"/>
      <c r="M22" s="68"/>
      <c r="N22" s="193"/>
      <c r="O22" s="178"/>
      <c r="P22" s="17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24"/>
      <c r="C23" s="24"/>
      <c r="D23" s="11"/>
      <c r="E23" s="11"/>
      <c r="F23" s="196"/>
      <c r="G23" s="11"/>
      <c r="H23" s="196"/>
      <c r="I23" s="11"/>
      <c r="J23" s="196"/>
      <c r="K23" s="68"/>
      <c r="L23" s="68"/>
      <c r="M23" s="68"/>
      <c r="N23" s="193"/>
      <c r="O23" s="178"/>
      <c r="P23" s="178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2.15" customHeight="1" x14ac:dyDescent="0.25">
      <c r="B24" s="24" t="s">
        <v>32</v>
      </c>
      <c r="C24" s="24"/>
      <c r="D24" s="11"/>
      <c r="E24" s="11"/>
      <c r="F24" s="184">
        <f>IF(E4="",ROUNDUP(E9*12/42,0),ROUNDUP(E9/1.067,0))</f>
        <v>0</v>
      </c>
      <c r="G24" s="11" t="s">
        <v>21</v>
      </c>
      <c r="H24" s="184">
        <f>O24</f>
        <v>0</v>
      </c>
      <c r="I24" s="52" t="s">
        <v>14</v>
      </c>
      <c r="J24" s="184">
        <f>F24-(H24*17)</f>
        <v>0</v>
      </c>
      <c r="K24" s="11" t="s">
        <v>145</v>
      </c>
      <c r="L24" s="68"/>
      <c r="M24" s="68"/>
      <c r="N24" s="193">
        <f>IF(E4="",(E9*12/42/17),(E9/1.067/17))</f>
        <v>0</v>
      </c>
      <c r="O24" s="178">
        <f>ROUNDDOWN(N24,0)</f>
        <v>0</v>
      </c>
      <c r="P24" s="167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24"/>
      <c r="C25" s="24"/>
      <c r="D25" s="11"/>
      <c r="E25" s="11"/>
      <c r="F25" s="195"/>
      <c r="G25" s="11"/>
      <c r="H25" s="196"/>
      <c r="I25" s="14"/>
      <c r="J25" s="196"/>
      <c r="K25" s="14"/>
      <c r="L25" s="68"/>
      <c r="M25" s="68"/>
      <c r="N25" s="193"/>
      <c r="O25" s="178"/>
      <c r="P25" s="167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2.15" customHeight="1" x14ac:dyDescent="0.25">
      <c r="B26" s="24" t="s">
        <v>16</v>
      </c>
      <c r="C26" s="24"/>
      <c r="D26" s="11"/>
      <c r="E26" s="11"/>
      <c r="F26" s="184">
        <f>IF(E4="",ROUNDUP(E9*12/15.75,0),ROUNDUP(E9/0.4,0))</f>
        <v>0</v>
      </c>
      <c r="G26" s="11" t="s">
        <v>21</v>
      </c>
      <c r="H26" s="184">
        <f>O26</f>
        <v>0</v>
      </c>
      <c r="I26" s="52" t="s">
        <v>14</v>
      </c>
      <c r="J26" s="184">
        <f>F26-(H26*60)</f>
        <v>0</v>
      </c>
      <c r="K26" s="11" t="s">
        <v>145</v>
      </c>
      <c r="L26" s="68"/>
      <c r="M26" s="68"/>
      <c r="N26" s="193">
        <f>IF(E4="",(E9*12/15.75/60),(E9/0.4/60))</f>
        <v>0</v>
      </c>
      <c r="O26" s="178">
        <f>ROUNDDOWN(N26,0)</f>
        <v>0</v>
      </c>
      <c r="P26" s="167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x14ac:dyDescent="0.25">
      <c r="B27" s="24"/>
      <c r="C27" s="24"/>
      <c r="D27" s="11"/>
      <c r="E27" s="11"/>
      <c r="F27" s="11"/>
      <c r="G27" s="68"/>
      <c r="H27" s="11"/>
      <c r="I27" s="11"/>
      <c r="J27" s="11"/>
      <c r="K27" s="11"/>
      <c r="L27" s="68"/>
      <c r="M27" s="68"/>
      <c r="N27" s="178"/>
      <c r="O27" s="166"/>
      <c r="P27" s="16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x14ac:dyDescent="0.25">
      <c r="B28" s="24"/>
      <c r="C28" s="24"/>
      <c r="D28" s="11"/>
      <c r="E28" s="11"/>
      <c r="F28" s="11"/>
      <c r="G28" s="11"/>
      <c r="H28" s="11"/>
      <c r="I28" s="11"/>
      <c r="J28" s="11"/>
      <c r="K28" s="11"/>
      <c r="L28" s="68"/>
      <c r="M28" s="68"/>
      <c r="N28" s="178"/>
      <c r="O28" s="166"/>
      <c r="P28" s="16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24"/>
      <c r="C29" s="24"/>
      <c r="D29" s="11"/>
      <c r="E29" s="11"/>
      <c r="F29" s="11"/>
      <c r="G29" s="11"/>
      <c r="H29" s="11"/>
      <c r="I29" s="11"/>
      <c r="J29" s="11"/>
      <c r="K29" s="11"/>
      <c r="L29" s="68"/>
      <c r="M29" s="68"/>
      <c r="N29" s="178"/>
      <c r="O29" s="166"/>
      <c r="P29" s="16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48" t="s">
        <v>5</v>
      </c>
      <c r="C30" s="48">
        <v>1</v>
      </c>
      <c r="D30" s="57" t="s">
        <v>4</v>
      </c>
      <c r="E30" s="11"/>
      <c r="F30" s="11"/>
      <c r="G30" s="11"/>
      <c r="H30" s="11"/>
      <c r="I30" s="11"/>
      <c r="J30" s="11"/>
      <c r="K30" s="11"/>
      <c r="L30" s="68"/>
      <c r="M30" s="68"/>
      <c r="N30" s="178"/>
      <c r="O30" s="166"/>
      <c r="P30" s="16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48"/>
      <c r="C31" s="48">
        <v>2</v>
      </c>
      <c r="D31" s="58" t="s">
        <v>128</v>
      </c>
      <c r="E31" s="11"/>
      <c r="F31" s="11"/>
      <c r="G31" s="11"/>
      <c r="H31" s="11"/>
      <c r="I31" s="11"/>
      <c r="J31" s="11"/>
      <c r="K31" s="11"/>
      <c r="L31" s="68"/>
      <c r="M31" s="68"/>
      <c r="N31" s="178"/>
      <c r="O31" s="166"/>
      <c r="P31" s="16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48"/>
      <c r="C32" s="48"/>
      <c r="D32" s="59" t="s">
        <v>134</v>
      </c>
      <c r="E32" s="11"/>
      <c r="F32" s="11"/>
      <c r="G32" s="11"/>
      <c r="H32" s="11"/>
      <c r="I32" s="11"/>
      <c r="J32" s="11"/>
      <c r="K32" s="11"/>
      <c r="L32" s="68"/>
      <c r="M32" s="68"/>
      <c r="N32" s="178"/>
      <c r="O32" s="166"/>
      <c r="P32" s="16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48"/>
      <c r="C33" s="48">
        <v>3</v>
      </c>
      <c r="D33" s="59" t="s">
        <v>165</v>
      </c>
      <c r="E33" s="11"/>
      <c r="F33" s="11"/>
      <c r="G33" s="11"/>
      <c r="H33" s="11"/>
      <c r="I33" s="11"/>
      <c r="J33" s="11"/>
      <c r="K33" s="11"/>
      <c r="L33" s="68"/>
      <c r="M33" s="68"/>
      <c r="N33" s="178"/>
      <c r="O33" s="166"/>
      <c r="P33" s="16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48"/>
      <c r="C34" s="48">
        <v>4</v>
      </c>
      <c r="D34" s="55" t="s">
        <v>164</v>
      </c>
      <c r="E34" s="11"/>
      <c r="F34" s="11"/>
      <c r="G34" s="11"/>
      <c r="H34" s="11"/>
      <c r="I34" s="11"/>
      <c r="J34" s="11"/>
      <c r="K34" s="11"/>
      <c r="L34" s="68"/>
      <c r="M34" s="68"/>
      <c r="N34" s="178"/>
      <c r="O34" s="166"/>
      <c r="P34" s="16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48"/>
      <c r="C35" s="48">
        <v>5</v>
      </c>
      <c r="D35" s="59" t="s">
        <v>135</v>
      </c>
      <c r="E35" s="11"/>
      <c r="F35" s="11"/>
      <c r="G35" s="11"/>
      <c r="H35" s="11"/>
      <c r="I35" s="11"/>
      <c r="J35" s="11"/>
      <c r="K35" s="11"/>
      <c r="L35" s="68"/>
      <c r="M35" s="68"/>
      <c r="N35" s="178"/>
      <c r="O35" s="166"/>
      <c r="P35" s="16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48"/>
      <c r="C36" s="48">
        <v>6</v>
      </c>
      <c r="D36" s="59" t="s">
        <v>130</v>
      </c>
      <c r="E36" s="11"/>
      <c r="F36" s="11"/>
      <c r="G36" s="11"/>
      <c r="H36" s="11"/>
      <c r="I36" s="11"/>
      <c r="J36" s="11"/>
      <c r="K36" s="11"/>
      <c r="L36" s="68"/>
      <c r="M36" s="68"/>
      <c r="N36" s="178"/>
      <c r="O36" s="166"/>
      <c r="P36" s="16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48"/>
      <c r="C37" s="48">
        <v>7</v>
      </c>
      <c r="D37" s="57" t="s">
        <v>131</v>
      </c>
      <c r="E37" s="11"/>
      <c r="F37" s="11"/>
      <c r="G37" s="11"/>
      <c r="H37" s="11"/>
      <c r="I37" s="11"/>
      <c r="J37" s="11"/>
      <c r="K37" s="11"/>
      <c r="L37" s="68"/>
      <c r="M37" s="68"/>
      <c r="N37" s="178"/>
      <c r="O37" s="166"/>
      <c r="P37" s="16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48"/>
      <c r="C38" s="48">
        <v>8</v>
      </c>
      <c r="D38" s="57" t="s">
        <v>132</v>
      </c>
      <c r="E38" s="11"/>
      <c r="F38" s="11"/>
      <c r="G38" s="11"/>
      <c r="H38" s="11"/>
      <c r="I38" s="11"/>
      <c r="J38" s="11"/>
      <c r="K38" s="11"/>
      <c r="L38" s="68"/>
      <c r="M38" s="68"/>
      <c r="N38" s="178"/>
      <c r="O38" s="166"/>
      <c r="P38" s="16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48"/>
      <c r="C39" s="48"/>
      <c r="D39" s="55" t="s">
        <v>146</v>
      </c>
      <c r="E39" s="11"/>
      <c r="F39" s="11"/>
      <c r="G39" s="11"/>
      <c r="H39" s="11"/>
      <c r="I39" s="11"/>
      <c r="J39" s="11"/>
      <c r="K39" s="11"/>
      <c r="L39" s="68"/>
      <c r="M39" s="68"/>
      <c r="N39" s="178"/>
      <c r="O39" s="166"/>
      <c r="P39" s="16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8"/>
      <c r="C40" s="48">
        <v>9</v>
      </c>
      <c r="D40" s="59" t="s">
        <v>133</v>
      </c>
      <c r="E40" s="4"/>
      <c r="F40" s="4"/>
      <c r="G40" s="4"/>
      <c r="H40" s="4"/>
      <c r="I40" s="4"/>
      <c r="J40" s="4"/>
      <c r="K40" s="4"/>
      <c r="L40" s="5"/>
      <c r="M40" s="5"/>
    </row>
    <row r="41" spans="2:48" x14ac:dyDescent="0.25">
      <c r="B41" s="48"/>
      <c r="C41" s="48">
        <v>10</v>
      </c>
      <c r="D41" s="49" t="s">
        <v>136</v>
      </c>
      <c r="E41" s="4"/>
      <c r="F41" s="4"/>
      <c r="G41" s="4"/>
      <c r="H41" s="4"/>
      <c r="I41" s="4"/>
      <c r="J41" s="4"/>
      <c r="K41" s="4"/>
      <c r="L41" s="5"/>
      <c r="M41" s="5"/>
    </row>
    <row r="42" spans="2:48" x14ac:dyDescent="0.25">
      <c r="B42" s="26"/>
      <c r="C42" s="26"/>
      <c r="D42" s="51"/>
      <c r="E42" s="4"/>
      <c r="F42" s="4"/>
      <c r="G42" s="4"/>
      <c r="H42" s="4"/>
      <c r="I42" s="4"/>
      <c r="J42" s="4"/>
      <c r="K42" s="4"/>
      <c r="L42" s="5"/>
      <c r="M42" s="5"/>
    </row>
    <row r="43" spans="2:48" x14ac:dyDescent="0.25">
      <c r="D43" s="50"/>
    </row>
    <row r="44" spans="2:48" x14ac:dyDescent="0.25">
      <c r="D44" s="50"/>
    </row>
    <row r="45" spans="2:48" x14ac:dyDescent="0.25">
      <c r="D45" s="50"/>
    </row>
    <row r="46" spans="2:48" x14ac:dyDescent="0.25">
      <c r="D46" s="50"/>
    </row>
  </sheetData>
  <sheetProtection password="DD81" sheet="1" objects="1" scenarios="1" selectLockedCells="1"/>
  <mergeCells count="4">
    <mergeCell ref="O5:P5"/>
    <mergeCell ref="G7:J7"/>
    <mergeCell ref="B1:M1"/>
    <mergeCell ref="B2:M2"/>
  </mergeCells>
  <conditionalFormatting sqref="G6:J7">
    <cfRule type="containsText" dxfId="4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86" fitToHeight="0" orientation="portrait" r:id="rId1"/>
  <headerFooter>
    <oddFooter>&amp;C&amp;G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V43"/>
  <sheetViews>
    <sheetView showGridLines="0" zoomScaleNormal="100" zoomScaleSheetLayoutView="130" workbookViewId="0">
      <pane ySplit="2" topLeftCell="A3" activePane="bottomLeft" state="frozen"/>
      <selection activeCell="C7" sqref="C7:G7"/>
      <selection pane="bottomLeft" activeCell="F9" sqref="F9"/>
    </sheetView>
  </sheetViews>
  <sheetFormatPr baseColWidth="10" defaultColWidth="11.5703125" defaultRowHeight="15" x14ac:dyDescent="0.25"/>
  <cols>
    <col min="1" max="1" width="11.5703125" style="2"/>
    <col min="2" max="2" width="2.7109375" style="2" customWidth="1"/>
    <col min="3" max="3" width="11.5703125" style="2"/>
    <col min="4" max="4" width="3.42578125" style="2" customWidth="1"/>
    <col min="5" max="5" width="20.5703125" style="2" customWidth="1"/>
    <col min="6" max="6" width="6" style="2" customWidth="1"/>
    <col min="7" max="7" width="7.5703125" style="2" customWidth="1"/>
    <col min="8" max="9" width="6.5703125" style="2" customWidth="1"/>
    <col min="10" max="11" width="7.7109375" style="2" customWidth="1"/>
    <col min="12" max="12" width="8.7109375" style="2" customWidth="1"/>
    <col min="13" max="13" width="8.85546875" style="2" customWidth="1"/>
    <col min="14" max="15" width="8.85546875" style="166" customWidth="1"/>
    <col min="16" max="16" width="11.5703125" style="166"/>
    <col min="17" max="48" width="11.5703125" style="6"/>
    <col min="49" max="16384" width="11.5703125" style="2"/>
  </cols>
  <sheetData>
    <row r="1" spans="2:48" s="202" customFormat="1" ht="25.9" customHeight="1" x14ac:dyDescent="0.25">
      <c r="B1" s="203"/>
      <c r="C1" s="217" t="s">
        <v>22</v>
      </c>
      <c r="D1" s="217"/>
      <c r="E1" s="217"/>
      <c r="F1" s="217"/>
      <c r="G1" s="217"/>
      <c r="H1" s="217"/>
      <c r="I1" s="217"/>
      <c r="J1" s="217"/>
      <c r="K1" s="217"/>
      <c r="L1" s="217"/>
      <c r="M1" s="204"/>
      <c r="N1" s="200"/>
      <c r="O1" s="200"/>
      <c r="P1" s="200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2:48" s="202" customFormat="1" ht="25.9" customHeight="1" x14ac:dyDescent="0.25">
      <c r="B2" s="203"/>
      <c r="C2" s="217" t="s">
        <v>29</v>
      </c>
      <c r="D2" s="217"/>
      <c r="E2" s="217"/>
      <c r="F2" s="217"/>
      <c r="G2" s="217"/>
      <c r="H2" s="217"/>
      <c r="I2" s="217"/>
      <c r="J2" s="217"/>
      <c r="K2" s="217"/>
      <c r="L2" s="217"/>
      <c r="M2" s="204"/>
      <c r="N2" s="200"/>
      <c r="O2" s="200"/>
      <c r="P2" s="200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</row>
    <row r="3" spans="2:48" s="12" customFormat="1" ht="25.9" customHeigh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66"/>
      <c r="O3" s="166"/>
      <c r="P3" s="16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2:48" s="12" customFormat="1" ht="18.600000000000001" customHeight="1" x14ac:dyDescent="0.25">
      <c r="B4" s="11"/>
      <c r="C4" s="11"/>
      <c r="D4" s="11"/>
      <c r="E4" s="13" t="s">
        <v>12</v>
      </c>
      <c r="F4" s="190"/>
      <c r="G4" s="14" t="s">
        <v>123</v>
      </c>
      <c r="H4" s="11"/>
      <c r="I4" s="11"/>
      <c r="J4" s="11"/>
      <c r="K4" s="11"/>
      <c r="L4" s="11"/>
      <c r="M4" s="11"/>
      <c r="N4" s="166"/>
      <c r="O4" s="166"/>
      <c r="P4" s="16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2:48" s="12" customFormat="1" x14ac:dyDescent="0.25">
      <c r="B5" s="11"/>
      <c r="C5" s="11"/>
      <c r="D5" s="11"/>
      <c r="E5" s="11"/>
      <c r="F5" s="196"/>
      <c r="G5" s="11"/>
      <c r="H5" s="11"/>
      <c r="I5" s="11"/>
      <c r="J5" s="11"/>
      <c r="K5" s="11"/>
      <c r="L5" s="11"/>
      <c r="M5" s="11"/>
      <c r="N5" s="166"/>
      <c r="O5" s="225" t="s">
        <v>122</v>
      </c>
      <c r="P5" s="22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2:48" s="12" customFormat="1" ht="18.600000000000001" customHeight="1" x14ac:dyDescent="0.25">
      <c r="B6" s="11"/>
      <c r="C6" s="11" t="s">
        <v>1</v>
      </c>
      <c r="D6" s="11"/>
      <c r="E6" s="11"/>
      <c r="F6" s="190"/>
      <c r="G6" s="14" t="str">
        <f>IF(F$4="","po","m")</f>
        <v>po</v>
      </c>
      <c r="H6" s="39">
        <f>IF(F4="",(IF(N6&lt;P6+0.01,N6,P6)),(IF(N6&lt;O6+0.001,N6,O6)))</f>
        <v>0</v>
      </c>
      <c r="I6" s="40" t="str">
        <f>IF(F$4&gt;"","m","po")</f>
        <v>po</v>
      </c>
      <c r="J6" s="11"/>
      <c r="K6" s="11"/>
      <c r="L6" s="11"/>
      <c r="M6" s="11"/>
      <c r="N6" s="166">
        <f>IF(F4="",3.5*(ROUNDUP(F6/3.5,0)),0.09*(ROUNDUP(F6/0.09,0)))</f>
        <v>0</v>
      </c>
      <c r="O6" s="166">
        <v>0.63</v>
      </c>
      <c r="P6" s="192">
        <v>24.5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2:48" s="12" customFormat="1" x14ac:dyDescent="0.25">
      <c r="B7" s="11"/>
      <c r="C7" s="11" t="s">
        <v>20</v>
      </c>
      <c r="D7" s="11"/>
      <c r="E7" s="11"/>
      <c r="F7" s="196"/>
      <c r="G7" s="229" t="str">
        <f>IF(F4="",(IF(F6&lt;(P6+0.01),"Hauteur ajustée au 3,5 po près","Hauteur maximale 24,5 po")),(IF(F6&lt;O6+0.001,"Hauteur ajustée au 0,09 m près","Hauteur maximale 0,62 m")))</f>
        <v>Hauteur ajustée au 3,5 po près</v>
      </c>
      <c r="H7" s="229"/>
      <c r="I7" s="229"/>
      <c r="J7" s="229"/>
      <c r="K7" s="11"/>
      <c r="L7" s="11"/>
      <c r="M7" s="11"/>
      <c r="N7" s="166"/>
      <c r="O7" s="166"/>
      <c r="P7" s="16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2:48" s="12" customFormat="1" x14ac:dyDescent="0.25">
      <c r="B8" s="11"/>
      <c r="C8" s="11"/>
      <c r="D8" s="11"/>
      <c r="E8" s="11"/>
      <c r="F8" s="196"/>
      <c r="G8" s="11"/>
      <c r="H8" s="11"/>
      <c r="I8" s="11"/>
      <c r="J8" s="11"/>
      <c r="K8" s="11"/>
      <c r="L8" s="11"/>
      <c r="M8" s="11"/>
      <c r="N8" s="166"/>
      <c r="O8" s="166"/>
      <c r="P8" s="16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</row>
    <row r="9" spans="2:48" s="12" customFormat="1" ht="18.600000000000001" customHeight="1" x14ac:dyDescent="0.25">
      <c r="B9" s="11"/>
      <c r="C9" s="11" t="s">
        <v>2</v>
      </c>
      <c r="D9" s="11"/>
      <c r="E9" s="11"/>
      <c r="F9" s="190"/>
      <c r="G9" s="14" t="str">
        <f>IF(F$4="","pi","m")</f>
        <v>pi</v>
      </c>
      <c r="H9" s="11"/>
      <c r="I9" s="11"/>
      <c r="J9" s="11"/>
      <c r="K9" s="15"/>
      <c r="L9" s="11"/>
      <c r="M9" s="230"/>
      <c r="N9" s="166"/>
      <c r="O9" s="166"/>
      <c r="P9" s="16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</row>
    <row r="10" spans="2:48" s="12" customFormat="1" ht="12.6" customHeight="1" x14ac:dyDescent="0.25">
      <c r="B10" s="11"/>
      <c r="C10" s="11"/>
      <c r="D10" s="11"/>
      <c r="E10" s="11"/>
      <c r="F10" s="196"/>
      <c r="G10" s="11"/>
      <c r="H10" s="11"/>
      <c r="I10" s="11"/>
      <c r="J10" s="11"/>
      <c r="K10" s="230"/>
      <c r="L10" s="11"/>
      <c r="M10" s="230"/>
      <c r="N10" s="166"/>
      <c r="O10" s="166"/>
      <c r="P10" s="16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</row>
    <row r="11" spans="2:48" s="12" customFormat="1" ht="18.600000000000001" customHeight="1" x14ac:dyDescent="0.25">
      <c r="B11" s="11"/>
      <c r="C11" s="11" t="s">
        <v>3</v>
      </c>
      <c r="D11" s="11"/>
      <c r="E11" s="11"/>
      <c r="F11" s="190"/>
      <c r="G11" s="14"/>
      <c r="H11" s="11"/>
      <c r="I11" s="11"/>
      <c r="J11" s="11"/>
      <c r="K11" s="230"/>
      <c r="L11" s="11"/>
      <c r="M11" s="230"/>
      <c r="N11" s="166"/>
      <c r="O11" s="166"/>
      <c r="P11" s="16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2:48" s="12" customFormat="1" x14ac:dyDescent="0.25">
      <c r="B12" s="11"/>
      <c r="C12" s="11"/>
      <c r="D12" s="11"/>
      <c r="E12" s="11"/>
      <c r="F12" s="196"/>
      <c r="G12" s="11"/>
      <c r="H12" s="11"/>
      <c r="I12" s="11"/>
      <c r="J12" s="11"/>
      <c r="K12" s="230"/>
      <c r="L12" s="11"/>
      <c r="M12" s="230"/>
      <c r="N12" s="166"/>
      <c r="O12" s="166"/>
      <c r="P12" s="16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2:48" s="12" customFormat="1" ht="18.600000000000001" customHeight="1" x14ac:dyDescent="0.25">
      <c r="B13" s="11"/>
      <c r="C13" s="11" t="s">
        <v>18</v>
      </c>
      <c r="D13" s="11"/>
      <c r="E13" s="11"/>
      <c r="F13" s="210">
        <f>IF(F4="",(F9*(H6+3.5)/12),((H6+0.09)*F9))*2</f>
        <v>0</v>
      </c>
      <c r="G13" s="14" t="str">
        <f>IF(F$4="","pi²","m²")</f>
        <v>pi²</v>
      </c>
      <c r="H13" s="11"/>
      <c r="I13" s="16"/>
      <c r="J13" s="11"/>
      <c r="K13" s="230"/>
      <c r="L13" s="11"/>
      <c r="M13" s="230"/>
      <c r="N13" s="166"/>
      <c r="O13" s="166"/>
      <c r="P13" s="16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</row>
    <row r="14" spans="2:48" s="12" customFormat="1" x14ac:dyDescent="0.25">
      <c r="B14" s="11"/>
      <c r="C14" s="11" t="s">
        <v>13</v>
      </c>
      <c r="D14" s="11"/>
      <c r="E14" s="11"/>
      <c r="F14" s="11"/>
      <c r="G14" s="11"/>
      <c r="H14" s="11"/>
      <c r="I14" s="11"/>
      <c r="J14" s="11"/>
      <c r="K14" s="230"/>
      <c r="L14" s="11"/>
      <c r="M14" s="230"/>
      <c r="N14" s="166"/>
      <c r="O14" s="166"/>
      <c r="P14" s="16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2:48" s="12" customFormat="1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230"/>
      <c r="L15" s="11"/>
      <c r="M15" s="230"/>
      <c r="N15" s="166"/>
      <c r="O15" s="166"/>
      <c r="P15" s="16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</row>
    <row r="16" spans="2:48" s="12" customFormat="1" ht="21" x14ac:dyDescent="0.25">
      <c r="B16" s="11"/>
      <c r="C16" s="60" t="s">
        <v>6</v>
      </c>
      <c r="D16" s="61"/>
      <c r="E16" s="62"/>
      <c r="F16" s="62"/>
      <c r="G16" s="62"/>
      <c r="H16" s="62"/>
      <c r="I16" s="62"/>
      <c r="J16" s="62"/>
      <c r="K16" s="230"/>
      <c r="L16" s="11"/>
      <c r="M16" s="11"/>
      <c r="N16" s="166"/>
      <c r="O16" s="166"/>
      <c r="P16" s="16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2:48" s="12" customFormat="1" x14ac:dyDescent="0.25">
      <c r="B17" s="11"/>
      <c r="C17" s="11"/>
      <c r="D17" s="11"/>
      <c r="E17" s="11"/>
      <c r="F17" s="11"/>
      <c r="G17" s="68"/>
      <c r="H17" s="11"/>
      <c r="I17" s="68"/>
      <c r="J17" s="11"/>
      <c r="K17" s="11"/>
      <c r="L17" s="11"/>
      <c r="M17" s="11"/>
      <c r="N17" s="166" t="s">
        <v>14</v>
      </c>
      <c r="O17" s="178" t="s">
        <v>117</v>
      </c>
      <c r="P17" s="178" t="s">
        <v>119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</row>
    <row r="18" spans="2:48" s="12" customFormat="1" ht="24.6" customHeight="1" x14ac:dyDescent="0.25">
      <c r="B18" s="11"/>
      <c r="C18" s="11" t="s">
        <v>33</v>
      </c>
      <c r="D18" s="11"/>
      <c r="E18" s="11"/>
      <c r="F18" s="11"/>
      <c r="G18" s="183">
        <f>IF(F4="",(I18*42.12)+(K18*10.53),(I18*3.92)+(K18*0.98))</f>
        <v>0</v>
      </c>
      <c r="H18" s="11" t="str">
        <f>IF(F$4="","pi²","m²")</f>
        <v>pi²</v>
      </c>
      <c r="I18" s="184">
        <f>IF(P18&gt;0.751,O18+1,O18)</f>
        <v>0</v>
      </c>
      <c r="J18" s="52" t="s">
        <v>14</v>
      </c>
      <c r="K18" s="184">
        <f>IF(P18&gt;0.751,0,IF(P18&gt;0.501,3,IF(P18&gt;0.251,2,IF(P18&gt;0,1,0))))</f>
        <v>0</v>
      </c>
      <c r="L18" s="11" t="s">
        <v>116</v>
      </c>
      <c r="M18" s="11"/>
      <c r="N18" s="214">
        <f>IF(F4="",(F13/42),(F13/3.92))</f>
        <v>0</v>
      </c>
      <c r="O18" s="178">
        <f>ROUNDDOWN(N18,0)</f>
        <v>0</v>
      </c>
      <c r="P18" s="193">
        <f>N18-O18</f>
        <v>0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2:48" s="12" customFormat="1" ht="9.6" customHeight="1" x14ac:dyDescent="0.25">
      <c r="B19" s="11"/>
      <c r="C19" s="11"/>
      <c r="D19" s="11"/>
      <c r="E19" s="11"/>
      <c r="F19" s="11"/>
      <c r="G19" s="195"/>
      <c r="H19" s="11"/>
      <c r="I19" s="196"/>
      <c r="J19" s="14"/>
      <c r="K19" s="186"/>
      <c r="L19" s="11"/>
      <c r="M19" s="11"/>
      <c r="N19" s="166"/>
      <c r="O19" s="178"/>
      <c r="P19" s="178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</row>
    <row r="20" spans="2:48" s="12" customFormat="1" ht="24.6" customHeight="1" x14ac:dyDescent="0.25">
      <c r="B20" s="11"/>
      <c r="C20" s="19" t="s">
        <v>23</v>
      </c>
      <c r="D20" s="19"/>
      <c r="E20" s="11"/>
      <c r="F20" s="11"/>
      <c r="G20" s="184">
        <f>IF(F4="",G18*3.5,G18*38)</f>
        <v>0</v>
      </c>
      <c r="H20" s="11" t="s">
        <v>21</v>
      </c>
      <c r="I20" s="185">
        <f>ROUNDUP(G20/50,0)</f>
        <v>0</v>
      </c>
      <c r="J20" s="14" t="s">
        <v>31</v>
      </c>
      <c r="K20" s="186"/>
      <c r="L20" s="11"/>
      <c r="M20" s="11"/>
      <c r="N20" s="166"/>
      <c r="O20" s="178"/>
      <c r="P20" s="178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2:48" s="12" customFormat="1" ht="9.6" customHeight="1" x14ac:dyDescent="0.25">
      <c r="B21" s="11"/>
      <c r="C21" s="19"/>
      <c r="D21" s="19"/>
      <c r="E21" s="11"/>
      <c r="F21" s="11"/>
      <c r="G21" s="196"/>
      <c r="H21" s="11"/>
      <c r="I21" s="196"/>
      <c r="J21" s="14"/>
      <c r="K21" s="186"/>
      <c r="L21" s="11"/>
      <c r="M21" s="11"/>
      <c r="N21" s="166"/>
      <c r="O21" s="178"/>
      <c r="P21" s="178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2:48" s="12" customFormat="1" ht="24.6" customHeight="1" x14ac:dyDescent="0.25">
      <c r="B22" s="11"/>
      <c r="C22" s="11" t="s">
        <v>24</v>
      </c>
      <c r="D22" s="11"/>
      <c r="E22" s="11"/>
      <c r="F22" s="11"/>
      <c r="G22" s="184">
        <f>IF(F4="",(((H6+3.5)/3.5)*F11),((H6+0.09)/0.09)*F11)</f>
        <v>0</v>
      </c>
      <c r="H22" s="11" t="s">
        <v>21</v>
      </c>
      <c r="I22" s="185">
        <f>ROUNDUP(G22/50,0)</f>
        <v>0</v>
      </c>
      <c r="J22" s="14" t="s">
        <v>31</v>
      </c>
      <c r="K22" s="186"/>
      <c r="L22" s="11"/>
      <c r="M22" s="11"/>
      <c r="N22" s="166"/>
      <c r="O22" s="178"/>
      <c r="P22" s="17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</row>
    <row r="23" spans="2:48" s="12" customFormat="1" ht="9.6" customHeight="1" x14ac:dyDescent="0.25">
      <c r="B23" s="11"/>
      <c r="C23" s="11"/>
      <c r="D23" s="11"/>
      <c r="E23" s="11"/>
      <c r="F23" s="11"/>
      <c r="G23" s="196"/>
      <c r="H23" s="11"/>
      <c r="I23" s="196"/>
      <c r="J23" s="14"/>
      <c r="K23" s="196"/>
      <c r="L23" s="68"/>
      <c r="M23" s="11"/>
      <c r="N23" s="166"/>
      <c r="O23" s="178"/>
      <c r="P23" s="178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</row>
    <row r="24" spans="2:48" s="12" customFormat="1" ht="24.6" customHeight="1" x14ac:dyDescent="0.25">
      <c r="B24" s="11"/>
      <c r="C24" s="11" t="s">
        <v>32</v>
      </c>
      <c r="D24" s="11"/>
      <c r="E24" s="11"/>
      <c r="F24" s="11"/>
      <c r="G24" s="184">
        <f>IF(F4="",ROUNDUP(F9*12/42,0),ROUNDUP(F9/1.067,0))</f>
        <v>0</v>
      </c>
      <c r="H24" s="11" t="s">
        <v>21</v>
      </c>
      <c r="I24" s="184">
        <f>O24</f>
        <v>0</v>
      </c>
      <c r="J24" s="52" t="s">
        <v>14</v>
      </c>
      <c r="K24" s="184">
        <f>G24-(I24*17)</f>
        <v>0</v>
      </c>
      <c r="L24" s="11" t="s">
        <v>145</v>
      </c>
      <c r="M24" s="11"/>
      <c r="N24" s="214">
        <f>IF(F4="",(F9*12/42/17),(F9/1.067/17))</f>
        <v>0</v>
      </c>
      <c r="O24" s="178">
        <f>ROUNDDOWN(N24,0)</f>
        <v>0</v>
      </c>
      <c r="P24" s="193">
        <f>N24-O24</f>
        <v>0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</row>
    <row r="25" spans="2:48" s="12" customFormat="1" ht="9.6" customHeight="1" x14ac:dyDescent="0.25">
      <c r="B25" s="11"/>
      <c r="C25" s="11"/>
      <c r="D25" s="11"/>
      <c r="E25" s="11"/>
      <c r="F25" s="11"/>
      <c r="G25" s="195"/>
      <c r="H25" s="11"/>
      <c r="I25" s="196"/>
      <c r="J25" s="14"/>
      <c r="K25" s="196"/>
      <c r="L25" s="14"/>
      <c r="M25" s="11"/>
      <c r="N25" s="166"/>
      <c r="O25" s="178"/>
      <c r="P25" s="193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</row>
    <row r="26" spans="2:48" s="12" customFormat="1" ht="24.6" customHeight="1" x14ac:dyDescent="0.25">
      <c r="B26" s="11"/>
      <c r="C26" s="11" t="s">
        <v>16</v>
      </c>
      <c r="D26" s="11"/>
      <c r="E26" s="11"/>
      <c r="F26" s="11"/>
      <c r="G26" s="184">
        <f>IF(F4="",ROUNDUP(F9*12/7.87,0),ROUNDUP(F9/0.2,0))</f>
        <v>0</v>
      </c>
      <c r="H26" s="11" t="s">
        <v>21</v>
      </c>
      <c r="I26" s="184">
        <f>O26</f>
        <v>0</v>
      </c>
      <c r="J26" s="52" t="s">
        <v>14</v>
      </c>
      <c r="K26" s="184">
        <f>G26-(I26*60)</f>
        <v>0</v>
      </c>
      <c r="L26" s="11" t="s">
        <v>145</v>
      </c>
      <c r="M26" s="11"/>
      <c r="N26" s="214">
        <f>IF(F4="",(F9*12/7.87/60),(F9/0.2/60))</f>
        <v>0</v>
      </c>
      <c r="O26" s="178">
        <f>ROUNDDOWN(N26,0)</f>
        <v>0</v>
      </c>
      <c r="P26" s="193">
        <f>N26-O26</f>
        <v>0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</row>
    <row r="27" spans="2:48" s="12" customFormat="1" ht="7.9" customHeight="1" x14ac:dyDescent="0.25">
      <c r="B27" s="11"/>
      <c r="C27" s="11"/>
      <c r="D27" s="11"/>
      <c r="E27" s="11"/>
      <c r="F27" s="11"/>
      <c r="G27" s="186"/>
      <c r="H27" s="68"/>
      <c r="I27" s="11"/>
      <c r="J27" s="11"/>
      <c r="K27" s="11"/>
      <c r="L27" s="11"/>
      <c r="M27" s="11"/>
      <c r="N27" s="166"/>
      <c r="O27" s="166"/>
      <c r="P27" s="16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</row>
    <row r="28" spans="2:48" s="12" customFormat="1" ht="19.149999999999999" customHeight="1" x14ac:dyDescent="0.25">
      <c r="B28" s="11"/>
      <c r="C28" s="11" t="s">
        <v>35</v>
      </c>
      <c r="D28" s="11"/>
      <c r="E28" s="11"/>
      <c r="F28" s="11"/>
      <c r="G28" s="183">
        <f>IF(F4="",ROUNDUP(F13*0.25,0),ROUNDUP(F13*0.5*0.15,0))</f>
        <v>0</v>
      </c>
      <c r="H28" s="11" t="str">
        <f>IF(F$4="","pi³","m³")</f>
        <v>pi³</v>
      </c>
      <c r="I28" s="11"/>
      <c r="J28" s="11"/>
      <c r="K28" s="11"/>
      <c r="L28" s="11"/>
      <c r="M28" s="11"/>
      <c r="N28" s="166"/>
      <c r="O28" s="166"/>
      <c r="P28" s="16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</row>
    <row r="29" spans="2:48" s="12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66"/>
      <c r="O29" s="166"/>
      <c r="P29" s="16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</row>
    <row r="30" spans="2:48" s="12" customFormat="1" x14ac:dyDescent="0.25">
      <c r="B30" s="11"/>
      <c r="C30" s="44" t="s">
        <v>5</v>
      </c>
      <c r="D30" s="48">
        <v>1</v>
      </c>
      <c r="E30" s="53" t="s">
        <v>4</v>
      </c>
      <c r="F30" s="11"/>
      <c r="G30" s="11"/>
      <c r="H30" s="11"/>
      <c r="I30" s="11"/>
      <c r="J30" s="11"/>
      <c r="K30" s="11"/>
      <c r="L30" s="11"/>
      <c r="M30" s="11"/>
      <c r="N30" s="166"/>
      <c r="O30" s="166"/>
      <c r="P30" s="16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</row>
    <row r="31" spans="2:48" s="12" customFormat="1" x14ac:dyDescent="0.25">
      <c r="B31" s="11"/>
      <c r="C31" s="44"/>
      <c r="D31" s="48">
        <v>2</v>
      </c>
      <c r="E31" s="54" t="s">
        <v>128</v>
      </c>
      <c r="F31" s="11"/>
      <c r="G31" s="11"/>
      <c r="H31" s="11"/>
      <c r="I31" s="11"/>
      <c r="J31" s="11"/>
      <c r="K31" s="11"/>
      <c r="L31" s="11"/>
      <c r="M31" s="11"/>
      <c r="N31" s="166"/>
      <c r="O31" s="166"/>
      <c r="P31" s="16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2" spans="2:48" s="12" customFormat="1" x14ac:dyDescent="0.25">
      <c r="B32" s="11"/>
      <c r="C32" s="44"/>
      <c r="D32" s="48"/>
      <c r="E32" s="55" t="s">
        <v>134</v>
      </c>
      <c r="F32" s="11"/>
      <c r="G32" s="11"/>
      <c r="H32" s="11"/>
      <c r="I32" s="11"/>
      <c r="J32" s="11"/>
      <c r="K32" s="11"/>
      <c r="L32" s="11"/>
      <c r="M32" s="11"/>
      <c r="N32" s="166"/>
      <c r="O32" s="166"/>
      <c r="P32" s="16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</row>
    <row r="33" spans="2:48" s="12" customFormat="1" x14ac:dyDescent="0.25">
      <c r="B33" s="11"/>
      <c r="C33" s="44"/>
      <c r="D33" s="48">
        <v>3</v>
      </c>
      <c r="E33" s="55" t="s">
        <v>129</v>
      </c>
      <c r="F33" s="11"/>
      <c r="G33" s="11"/>
      <c r="H33" s="11"/>
      <c r="I33" s="11"/>
      <c r="J33" s="11"/>
      <c r="K33" s="11"/>
      <c r="L33" s="11"/>
      <c r="M33" s="11"/>
      <c r="N33" s="166"/>
      <c r="O33" s="166"/>
      <c r="P33" s="16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s="12" customFormat="1" x14ac:dyDescent="0.25">
      <c r="B34" s="11"/>
      <c r="C34" s="44"/>
      <c r="D34" s="48">
        <v>4</v>
      </c>
      <c r="E34" s="55" t="s">
        <v>147</v>
      </c>
      <c r="F34" s="11"/>
      <c r="G34" s="11"/>
      <c r="H34" s="11"/>
      <c r="I34" s="11"/>
      <c r="J34" s="11"/>
      <c r="K34" s="11"/>
      <c r="L34" s="11"/>
      <c r="M34" s="11"/>
      <c r="N34" s="166"/>
      <c r="O34" s="166"/>
      <c r="P34" s="16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  <row r="35" spans="2:48" s="12" customFormat="1" x14ac:dyDescent="0.25">
      <c r="B35" s="11"/>
      <c r="C35" s="44"/>
      <c r="D35" s="48">
        <v>5</v>
      </c>
      <c r="E35" s="55" t="s">
        <v>135</v>
      </c>
      <c r="F35" s="11"/>
      <c r="G35" s="11"/>
      <c r="H35" s="11"/>
      <c r="I35" s="11"/>
      <c r="J35" s="11"/>
      <c r="K35" s="11"/>
      <c r="L35" s="11"/>
      <c r="M35" s="11"/>
      <c r="N35" s="166"/>
      <c r="O35" s="166"/>
      <c r="P35" s="16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s="12" customFormat="1" x14ac:dyDescent="0.25">
      <c r="B36" s="11"/>
      <c r="C36" s="44"/>
      <c r="D36" s="48">
        <v>6</v>
      </c>
      <c r="E36" s="55" t="s">
        <v>130</v>
      </c>
      <c r="F36" s="11"/>
      <c r="G36" s="11"/>
      <c r="H36" s="11"/>
      <c r="I36" s="11"/>
      <c r="J36" s="11"/>
      <c r="K36" s="11"/>
      <c r="L36" s="11"/>
      <c r="M36" s="11"/>
      <c r="N36" s="166"/>
      <c r="O36" s="166"/>
      <c r="P36" s="16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2:48" s="12" customFormat="1" x14ac:dyDescent="0.25">
      <c r="B37" s="11"/>
      <c r="C37" s="44"/>
      <c r="D37" s="48">
        <v>7</v>
      </c>
      <c r="E37" s="53" t="s">
        <v>131</v>
      </c>
      <c r="F37" s="11"/>
      <c r="G37" s="11"/>
      <c r="H37" s="11"/>
      <c r="I37" s="11"/>
      <c r="J37" s="11"/>
      <c r="K37" s="11"/>
      <c r="L37" s="11"/>
      <c r="M37" s="11"/>
      <c r="N37" s="166"/>
      <c r="O37" s="166"/>
      <c r="P37" s="16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2:48" s="12" customFormat="1" x14ac:dyDescent="0.25">
      <c r="B38" s="11"/>
      <c r="C38" s="44"/>
      <c r="D38" s="48">
        <v>8</v>
      </c>
      <c r="E38" s="53" t="s">
        <v>132</v>
      </c>
      <c r="F38" s="11"/>
      <c r="G38" s="11"/>
      <c r="H38" s="11"/>
      <c r="I38" s="11"/>
      <c r="J38" s="11"/>
      <c r="K38" s="11"/>
      <c r="L38" s="11"/>
      <c r="M38" s="11"/>
      <c r="N38" s="166"/>
      <c r="O38" s="166"/>
      <c r="P38" s="16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</row>
    <row r="39" spans="2:48" s="12" customFormat="1" x14ac:dyDescent="0.25">
      <c r="B39" s="11"/>
      <c r="C39" s="44"/>
      <c r="D39" s="48"/>
      <c r="E39" s="55" t="s">
        <v>146</v>
      </c>
      <c r="F39" s="11"/>
      <c r="G39" s="11"/>
      <c r="H39" s="11"/>
      <c r="I39" s="11"/>
      <c r="J39" s="11"/>
      <c r="K39" s="11"/>
      <c r="L39" s="11"/>
      <c r="M39" s="11"/>
      <c r="N39" s="166"/>
      <c r="O39" s="166"/>
      <c r="P39" s="16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2:48" x14ac:dyDescent="0.25">
      <c r="B40" s="4"/>
      <c r="C40" s="44"/>
      <c r="D40" s="48">
        <v>9</v>
      </c>
      <c r="E40" s="55" t="s">
        <v>133</v>
      </c>
      <c r="F40" s="4"/>
      <c r="G40" s="4"/>
      <c r="H40" s="4"/>
      <c r="I40" s="4"/>
      <c r="J40" s="4"/>
      <c r="K40" s="4"/>
      <c r="L40" s="4"/>
      <c r="M40" s="4"/>
    </row>
    <row r="41" spans="2:48" x14ac:dyDescent="0.25">
      <c r="B41" s="1"/>
      <c r="C41" s="44"/>
      <c r="D41" s="48">
        <v>10</v>
      </c>
      <c r="E41" s="45" t="s">
        <v>136</v>
      </c>
      <c r="F41" s="1"/>
      <c r="G41" s="1"/>
      <c r="H41" s="1"/>
      <c r="I41" s="1"/>
      <c r="J41" s="1"/>
      <c r="K41" s="1"/>
      <c r="L41" s="1"/>
      <c r="M41" s="1"/>
    </row>
    <row r="42" spans="2:48" x14ac:dyDescent="0.25">
      <c r="B42" s="4"/>
      <c r="C42" s="4"/>
      <c r="D42" s="5"/>
      <c r="E42" s="4"/>
      <c r="F42" s="4"/>
      <c r="G42" s="4"/>
      <c r="H42" s="4"/>
      <c r="I42" s="4"/>
      <c r="J42" s="4"/>
      <c r="K42" s="4"/>
      <c r="L42" s="4"/>
      <c r="M42" s="4"/>
    </row>
    <row r="43" spans="2:48" x14ac:dyDescent="0.25">
      <c r="D43" s="3"/>
    </row>
  </sheetData>
  <sheetProtection password="DD81" sheet="1" objects="1" scenarios="1" selectLockedCells="1"/>
  <mergeCells count="6">
    <mergeCell ref="C1:L1"/>
    <mergeCell ref="G7:J7"/>
    <mergeCell ref="M9:M15"/>
    <mergeCell ref="K10:K16"/>
    <mergeCell ref="O5:P5"/>
    <mergeCell ref="C2:L2"/>
  </mergeCells>
  <conditionalFormatting sqref="H6:K6 G7">
    <cfRule type="containsText" dxfId="3" priority="1" operator="containsText" text="maximal">
      <formula>NOT(ISERROR(SEARCH("maximal",G6)))</formula>
    </cfRule>
  </conditionalFormatting>
  <printOptions horizontalCentered="1"/>
  <pageMargins left="0.62992125984251968" right="0.62992125984251968" top="0.35433070866141736" bottom="0.35433070866141736" header="0.31496062992125984" footer="0.31496062992125984"/>
  <pageSetup scale="94" fitToHeight="0" orientation="portrait" r:id="rId1"/>
  <headerFoot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12</vt:i4>
      </vt:variant>
    </vt:vector>
  </HeadingPairs>
  <TitlesOfParts>
    <vt:vector size="25" baseType="lpstr">
      <vt:lpstr>INTRO</vt:lpstr>
      <vt:lpstr>Lafitt 90 colonne</vt:lpstr>
      <vt:lpstr>Lafitt 180 colonne</vt:lpstr>
      <vt:lpstr>Esplanade Colonne</vt:lpstr>
      <vt:lpstr>Lafitt 90 simple</vt:lpstr>
      <vt:lpstr>Lafitt 180 simple</vt:lpstr>
      <vt:lpstr>Lafitt 90  &amp; 180 simple</vt:lpstr>
      <vt:lpstr>Esplanade simple</vt:lpstr>
      <vt:lpstr>Lafitt 90 double</vt:lpstr>
      <vt:lpstr>Lafitt 180 double</vt:lpstr>
      <vt:lpstr>Lafitt 90 &amp;180 double</vt:lpstr>
      <vt:lpstr>Esplanade double</vt:lpstr>
      <vt:lpstr>table colonne</vt:lpstr>
      <vt:lpstr>'Esplanade Colonne'!Zone_d_impression</vt:lpstr>
      <vt:lpstr>'Esplanade double'!Zone_d_impression</vt:lpstr>
      <vt:lpstr>'Esplanade simple'!Zone_d_impression</vt:lpstr>
      <vt:lpstr>INTRO!Zone_d_impression</vt:lpstr>
      <vt:lpstr>'Lafitt 180 colonne'!Zone_d_impression</vt:lpstr>
      <vt:lpstr>'Lafitt 180 double'!Zone_d_impression</vt:lpstr>
      <vt:lpstr>'Lafitt 180 simple'!Zone_d_impression</vt:lpstr>
      <vt:lpstr>'Lafitt 90  &amp; 180 simple'!Zone_d_impression</vt:lpstr>
      <vt:lpstr>'Lafitt 90 &amp;180 double'!Zone_d_impression</vt:lpstr>
      <vt:lpstr>'Lafitt 90 colonne'!Zone_d_impression</vt:lpstr>
      <vt:lpstr>'Lafitt 90 double'!Zone_d_impression</vt:lpstr>
      <vt:lpstr>'Lafitt 90 simple'!Zone_d_impression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Leblanc, Sylvie</cp:lastModifiedBy>
  <cp:lastPrinted>2013-03-13T20:12:14Z</cp:lastPrinted>
  <dcterms:created xsi:type="dcterms:W3CDTF">2012-10-19T19:51:22Z</dcterms:created>
  <dcterms:modified xsi:type="dcterms:W3CDTF">2020-07-08T18:54:37Z</dcterms:modified>
</cp:coreProperties>
</file>